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k04\Documents\"/>
    </mc:Choice>
  </mc:AlternateContent>
  <xr:revisionPtr revIDLastSave="0" documentId="13_ncr:1_{B3F43DAE-CA4C-433E-8CCF-668BE2CAD341}" xr6:coauthVersionLast="44" xr6:coauthVersionMax="44" xr10:uidLastSave="{00000000-0000-0000-0000-000000000000}"/>
  <bookViews>
    <workbookView xWindow="17" yWindow="266" windowWidth="16440" windowHeight="8391" tabRatio="914" activeTab="3" xr2:uid="{00000000-000D-0000-FFFF-FFFF00000000}"/>
  </bookViews>
  <sheets>
    <sheet name="Instructions" sheetId="26" r:id="rId1"/>
    <sheet name="Stats Basics" sheetId="27" r:id="rId2"/>
    <sheet name="Data ENTRY" sheetId="4" r:id="rId3"/>
    <sheet name="Viral Suppression Summary" sheetId="10" r:id="rId4"/>
    <sheet name="Viral Suppression Analysis" sheetId="7" r:id="rId5"/>
  </sheets>
  <definedNames>
    <definedName name="_xlnm.Print_Area" localSheetId="2">'Data ENTRY'!$A$1:$F$27</definedName>
    <definedName name="_xlnm.Print_Area" localSheetId="0">Instructions!$A$1:$O$90</definedName>
    <definedName name="_xlnm.Print_Area" localSheetId="1">'Stats Basics'!$A$1:$O$30</definedName>
    <definedName name="_xlnm.Print_Area" localSheetId="4">'Viral Suppression Analysis'!$A$1:$D$109</definedName>
    <definedName name="_xlnm.Print_Area" localSheetId="3">'Viral Suppression Summary'!$A$1:$E$33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7" l="1"/>
  <c r="C91" i="7"/>
  <c r="D86" i="7"/>
  <c r="C86" i="7"/>
  <c r="D81" i="7"/>
  <c r="C81" i="7"/>
  <c r="D76" i="7"/>
  <c r="C76" i="7"/>
  <c r="E8" i="4"/>
  <c r="B3" i="7" s="1"/>
  <c r="A25" i="7"/>
  <c r="A43" i="7"/>
  <c r="A61" i="7"/>
  <c r="B1" i="7"/>
  <c r="A8" i="7"/>
  <c r="A4" i="7" s="1"/>
  <c r="A9" i="7"/>
  <c r="A5" i="7" s="1"/>
  <c r="A83" i="7" s="1"/>
  <c r="A10" i="7"/>
  <c r="A87" i="7" s="1"/>
  <c r="A11" i="7"/>
  <c r="E2" i="10"/>
  <c r="D2" i="10"/>
  <c r="C2" i="10"/>
  <c r="B2" i="10"/>
  <c r="B11" i="4"/>
  <c r="B12" i="4"/>
  <c r="B10" i="4"/>
  <c r="B9" i="4"/>
  <c r="E3" i="10"/>
  <c r="D3" i="10"/>
  <c r="C3" i="10"/>
  <c r="B3" i="10"/>
  <c r="E9" i="4"/>
  <c r="B4" i="10" s="1"/>
  <c r="E10" i="4"/>
  <c r="B9" i="7" s="1"/>
  <c r="E12" i="4"/>
  <c r="B11" i="7" s="1"/>
  <c r="B92" i="7" s="1"/>
  <c r="E11" i="4"/>
  <c r="D4" i="10" s="1"/>
  <c r="D11" i="7"/>
  <c r="C11" i="7"/>
  <c r="C92" i="7" s="1"/>
  <c r="D10" i="7"/>
  <c r="C10" i="7"/>
  <c r="D9" i="7"/>
  <c r="C9" i="7"/>
  <c r="D8" i="7"/>
  <c r="C8" i="7"/>
  <c r="C77" i="7" s="1"/>
  <c r="D3" i="7"/>
  <c r="C3" i="7"/>
  <c r="A3" i="7"/>
  <c r="A76" i="7" l="1"/>
  <c r="A77" i="7"/>
  <c r="A86" i="7"/>
  <c r="B10" i="7"/>
  <c r="B87" i="7" s="1"/>
  <c r="B8" i="7"/>
  <c r="B77" i="7" s="1"/>
  <c r="D77" i="7" s="1"/>
  <c r="E4" i="10"/>
  <c r="A6" i="7"/>
  <c r="A88" i="7" s="1"/>
  <c r="C4" i="10"/>
  <c r="C4" i="7"/>
  <c r="C78" i="7" s="1"/>
  <c r="A1" i="10"/>
  <c r="D4" i="7"/>
  <c r="D6" i="7"/>
  <c r="D7" i="7"/>
  <c r="C7" i="7"/>
  <c r="C93" i="7" s="1"/>
  <c r="D92" i="7"/>
  <c r="D5" i="7"/>
  <c r="C82" i="7"/>
  <c r="C5" i="7"/>
  <c r="A92" i="7"/>
  <c r="A7" i="7"/>
  <c r="A91" i="7"/>
  <c r="B82" i="7"/>
  <c r="A78" i="7"/>
  <c r="A26" i="7"/>
  <c r="C87" i="7"/>
  <c r="C6" i="7"/>
  <c r="A81" i="7"/>
  <c r="A27" i="7"/>
  <c r="A82" i="7"/>
  <c r="A28" i="7" l="1"/>
  <c r="A46" i="7" s="1"/>
  <c r="B4" i="7"/>
  <c r="B7" i="7"/>
  <c r="A45" i="7"/>
  <c r="A105" i="7"/>
  <c r="A63" i="7"/>
  <c r="A62" i="7"/>
  <c r="A44" i="7"/>
  <c r="A104" i="7"/>
  <c r="C88" i="7"/>
  <c r="B6" i="7"/>
  <c r="D82" i="7"/>
  <c r="B5" i="7"/>
  <c r="C83" i="7"/>
  <c r="D87" i="7"/>
  <c r="A93" i="7"/>
  <c r="A29" i="7"/>
  <c r="A64" i="7" l="1"/>
  <c r="A106" i="7"/>
  <c r="C44" i="7"/>
  <c r="B65" i="7"/>
  <c r="C26" i="7"/>
  <c r="B5" i="10" s="1"/>
  <c r="B26" i="7"/>
  <c r="B78" i="7"/>
  <c r="D78" i="7" s="1"/>
  <c r="H79" i="7" s="1"/>
  <c r="B44" i="7"/>
  <c r="G44" i="7"/>
  <c r="G47" i="7"/>
  <c r="B29" i="7"/>
  <c r="C29" i="7"/>
  <c r="E5" i="10" s="1"/>
  <c r="B47" i="7"/>
  <c r="C47" i="7"/>
  <c r="B62" i="7"/>
  <c r="H44" i="7"/>
  <c r="B104" i="7"/>
  <c r="B9" i="10" s="1"/>
  <c r="H47" i="7"/>
  <c r="B93" i="7"/>
  <c r="D93" i="7" s="1"/>
  <c r="B107" i="7"/>
  <c r="E9" i="10" s="1"/>
  <c r="C46" i="7"/>
  <c r="B64" i="7"/>
  <c r="B28" i="7"/>
  <c r="C28" i="7"/>
  <c r="D5" i="10" s="1"/>
  <c r="B106" i="7"/>
  <c r="D9" i="10" s="1"/>
  <c r="B46" i="7"/>
  <c r="H46" i="7"/>
  <c r="G46" i="7"/>
  <c r="B88" i="7"/>
  <c r="D88" i="7" s="1"/>
  <c r="A107" i="7"/>
  <c r="A47" i="7"/>
  <c r="A65" i="7"/>
  <c r="B105" i="7"/>
  <c r="C9" i="10" s="1"/>
  <c r="G45" i="7"/>
  <c r="C27" i="7"/>
  <c r="C5" i="10" s="1"/>
  <c r="B83" i="7"/>
  <c r="D83" i="7" s="1"/>
  <c r="B63" i="7"/>
  <c r="C45" i="7"/>
  <c r="H45" i="7"/>
  <c r="B27" i="7"/>
  <c r="B45" i="7"/>
  <c r="I46" i="7" l="1"/>
  <c r="B79" i="7"/>
  <c r="C79" i="7"/>
  <c r="G79" i="7"/>
  <c r="I79" i="7" s="1"/>
  <c r="I44" i="7"/>
  <c r="I47" i="7"/>
  <c r="B94" i="7"/>
  <c r="C94" i="7"/>
  <c r="H94" i="7"/>
  <c r="G94" i="7"/>
  <c r="H84" i="7"/>
  <c r="G84" i="7"/>
  <c r="B84" i="7"/>
  <c r="C84" i="7"/>
  <c r="I45" i="7"/>
  <c r="D45" i="7" s="1"/>
  <c r="C89" i="7"/>
  <c r="G89" i="7"/>
  <c r="B89" i="7"/>
  <c r="H89" i="7"/>
  <c r="D46" i="7" l="1"/>
  <c r="C64" i="7" s="1"/>
  <c r="D7" i="10" s="1"/>
  <c r="D47" i="7"/>
  <c r="C65" i="7" s="1"/>
  <c r="E7" i="10" s="1"/>
  <c r="D44" i="7"/>
  <c r="C62" i="7" s="1"/>
  <c r="B7" i="10" s="1"/>
  <c r="D79" i="7"/>
  <c r="B8" i="10" s="1"/>
  <c r="D84" i="7"/>
  <c r="C8" i="10" s="1"/>
  <c r="D89" i="7"/>
  <c r="D8" i="10" s="1"/>
  <c r="D94" i="7"/>
  <c r="E8" i="10" s="1"/>
  <c r="I94" i="7"/>
  <c r="I89" i="7"/>
  <c r="I84" i="7"/>
  <c r="C63" i="7"/>
  <c r="C7" i="10" s="1"/>
  <c r="C6" i="10"/>
  <c r="D6" i="10" l="1"/>
  <c r="E6" i="10"/>
  <c r="B6" i="10"/>
</calcChain>
</file>

<file path=xl/sharedStrings.xml><?xml version="1.0" encoding="utf-8"?>
<sst xmlns="http://schemas.openxmlformats.org/spreadsheetml/2006/main" count="230" uniqueCount="157">
  <si>
    <t>Data Limitations / Comments</t>
  </si>
  <si>
    <t>Num.</t>
  </si>
  <si>
    <t>Denom.</t>
  </si>
  <si>
    <t>%</t>
  </si>
  <si>
    <t>Total</t>
  </si>
  <si>
    <t xml:space="preserve">% </t>
  </si>
  <si>
    <t>Helpful to create action around activities percieved to affect many people.</t>
  </si>
  <si>
    <t>Using the Absolute Impact method, how many lives are affected by bringing scores of one group to be equivalent to another group?</t>
  </si>
  <si>
    <t>Odds Ratio</t>
  </si>
  <si>
    <t>Numerator</t>
  </si>
  <si>
    <t>Denominator</t>
  </si>
  <si>
    <t>Absolute Disparity</t>
  </si>
  <si>
    <t>Comparative Disparity</t>
  </si>
  <si>
    <t>Absolute Impact</t>
  </si>
  <si>
    <t>Aggregated Data For Disparities Analysis</t>
  </si>
  <si>
    <t>Method works best when scores are all &gt;0.5.</t>
  </si>
  <si>
    <t>Method works best with low scores.  Method loses power to detect disparities with high scores (&gt;0.8).</t>
  </si>
  <si>
    <t>Comparison Result &lt;0.05</t>
  </si>
  <si>
    <t>not applicable</t>
  </si>
  <si>
    <t xml:space="preserve">          This worksheet is for quality improvement purposes only.</t>
  </si>
  <si>
    <t xml:space="preserve">          This worksheet contains self-reported data.</t>
  </si>
  <si>
    <t># of Agencies in Dataset</t>
  </si>
  <si>
    <t>Limitations:</t>
  </si>
  <si>
    <t>Interpretation:</t>
  </si>
  <si>
    <t>Questions:</t>
  </si>
  <si>
    <t>Recommended Next Steps:</t>
  </si>
  <si>
    <t>The population with the most significant findings AND the greatest impact to improve</t>
  </si>
  <si>
    <t>Continue entering data over time to see if the disparity you select improves</t>
  </si>
  <si>
    <t>For questions related to this workbook or calculating disparate impact:</t>
  </si>
  <si>
    <t>1.</t>
  </si>
  <si>
    <t>2.</t>
  </si>
  <si>
    <t>3.</t>
  </si>
  <si>
    <t>4.</t>
  </si>
  <si>
    <t>5.</t>
  </si>
  <si>
    <t>6.</t>
  </si>
  <si>
    <t xml:space="preserve">a. </t>
  </si>
  <si>
    <t>Populations:</t>
  </si>
  <si>
    <t xml:space="preserve">b. </t>
  </si>
  <si>
    <t>Disparities are defined by "Disparate Impact" precedent set by the Supreme Court of the United States</t>
  </si>
  <si>
    <t>Share the tool with others in your team and in your community</t>
  </si>
  <si>
    <t>Interpreting Results:</t>
  </si>
  <si>
    <t>Statistical Terminology:</t>
  </si>
  <si>
    <t>Select the population that has the most significant probability results AND the greatest impact for improvement</t>
  </si>
  <si>
    <t>Total Excluding</t>
  </si>
  <si>
    <t>For more information on calcutating disparities:</t>
  </si>
  <si>
    <t>Disparities Calculator Data Entry Walk Through</t>
  </si>
  <si>
    <t>3. Provide the HIV Viral Suppression numerator and denominator for the Total (all patients) and each sub-</t>
  </si>
  <si>
    <t>Odds Ratio Value and 95% Confidence Interval</t>
  </si>
  <si>
    <r>
      <t xml:space="preserve">1) </t>
    </r>
    <r>
      <rPr>
        <b/>
        <u/>
        <sz val="12"/>
        <rFont val="Calibri"/>
        <family val="2"/>
      </rPr>
      <t>Absolute Disparity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 xml:space="preserve">The absolute difference in scores between two groups. </t>
    </r>
  </si>
  <si>
    <r>
      <t xml:space="preserve">4) </t>
    </r>
    <r>
      <rPr>
        <b/>
        <u/>
        <sz val="12"/>
        <rFont val="Calibri"/>
        <family val="2"/>
      </rPr>
      <t>Odds Ratio</t>
    </r>
    <r>
      <rPr>
        <b/>
        <sz val="12"/>
        <rFont val="Calibri"/>
        <family val="2"/>
      </rPr>
      <t xml:space="preserve">- </t>
    </r>
    <r>
      <rPr>
        <b/>
        <i/>
        <sz val="12"/>
        <rFont val="Calibri"/>
        <family val="2"/>
      </rPr>
      <t xml:space="preserve">A measure of association between a status and an outcome. </t>
    </r>
  </si>
  <si>
    <r>
      <t xml:space="preserve">5) </t>
    </r>
    <r>
      <rPr>
        <b/>
        <u/>
        <sz val="12"/>
        <rFont val="Calibri"/>
        <family val="2"/>
      </rPr>
      <t>Absolute Impact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 xml:space="preserve">Absolute disparity multiplied by the size of the population experiencing the disparity. </t>
    </r>
  </si>
  <si>
    <t>Relative Risk</t>
  </si>
  <si>
    <r>
      <t xml:space="preserve">3) </t>
    </r>
    <r>
      <rPr>
        <b/>
        <u/>
        <sz val="12"/>
        <rFont val="Calibri"/>
        <family val="2"/>
      </rPr>
      <t>Comparitive Disparity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 xml:space="preserve">The relative risk minus 1. </t>
    </r>
  </si>
  <si>
    <r>
      <t xml:space="preserve">2) </t>
    </r>
    <r>
      <rPr>
        <b/>
        <u/>
        <sz val="12"/>
        <rFont val="Calibri"/>
        <family val="2"/>
      </rPr>
      <t>Relative Risk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>The ratio of the scores of two different groups divided into each other.</t>
    </r>
  </si>
  <si>
    <t>LOW</t>
  </si>
  <si>
    <t>HIGH</t>
  </si>
  <si>
    <t>Population Sample</t>
  </si>
  <si>
    <t>NULL</t>
  </si>
  <si>
    <t>Confidence Interval Contains the Value 1</t>
  </si>
  <si>
    <t xml:space="preserve">     Calculations are based on self-reported data.</t>
  </si>
  <si>
    <t xml:space="preserve">          Your contact information and timeframe information is important context for inclusion with your QI Project.</t>
  </si>
  <si>
    <t xml:space="preserve">    population group that you are assessing</t>
  </si>
  <si>
    <t>For more information on calculating disparties in HIV care:</t>
  </si>
  <si>
    <t>See the Analysis tabs to learn specific calculation findings to add context to the Summary tabs</t>
  </si>
  <si>
    <t>CONFIDENCE INTERVAL: the lower and upper bounds of the range containing the true result with 95% confidence</t>
  </si>
  <si>
    <t xml:space="preserve">          There are no "right" answers in how to best utilize your QI resources.</t>
  </si>
  <si>
    <t xml:space="preserve">          Continue to update data entered in the DATA ENTRY sheet to test if disparities change.</t>
  </si>
  <si>
    <t xml:space="preserve">          In the figure to the right, probability is represented above in rows 5-8 for each population.</t>
  </si>
  <si>
    <t xml:space="preserve">          In the figure to the right, impact is represented above in row 9.</t>
  </si>
  <si>
    <t xml:space="preserve">     Refer to Analysis tab to view statistical calculations and their results with confidence intervals where appropriate.</t>
  </si>
  <si>
    <t>Narrower confidence intervals signify lower standard error, wider intervals signify higher standard error</t>
  </si>
  <si>
    <t>Color scale is based on the relative values of absolute impact - greater impacts are darker red, lesser impacts are lighter red</t>
  </si>
  <si>
    <t>The values of rows 9-12 are independent of each other and will not add up to equal the total in row 8. Total in row 8 represents overall clinic/organization population.</t>
  </si>
  <si>
    <t>NO DISPARITY</t>
  </si>
  <si>
    <t>YES DISPARITY</t>
  </si>
  <si>
    <t>MAYBE DISPARITY</t>
  </si>
  <si>
    <t>Each method has a different way to determine whether or not there is a disparity</t>
  </si>
  <si>
    <t>The important thing to remember is to pursue root cause analysis for YES DISPARITY and MAYBE DISPARITY</t>
  </si>
  <si>
    <t>YES/MAYBE/NO DISPARITY: in this workbook we use general terms for fact-finding instead of significance of results</t>
  </si>
  <si>
    <t>7.</t>
  </si>
  <si>
    <t>2. Provide the number of HIV provider organizations contained in the report</t>
  </si>
  <si>
    <t>INDIVIDUAL ORGANIZATION DISPARITIES CALCULATION AND ANALYSIS FLOW</t>
  </si>
  <si>
    <t>GROUP (NETWORK WIDE) DISPARITIES CALCULATION AND ANALYSIS FLOW</t>
  </si>
  <si>
    <t>Clean active patient lists and  demograpics</t>
  </si>
  <si>
    <t>Network leader encourages subrecipients to clean patient lists and demographics</t>
  </si>
  <si>
    <t>Network leader aggregates sub data into one calculator for all</t>
  </si>
  <si>
    <t>Method works best with low scores (power considerations). Method used to highlight work that has yet to be done, it frames need.</t>
  </si>
  <si>
    <t>Comparison Result &gt; 0.67</t>
  </si>
  <si>
    <t>Comparison Result  &lt;0.67</t>
  </si>
  <si>
    <t>UNDEFINED RESULT</t>
  </si>
  <si>
    <t>Comparison Result  &gt;0.1</t>
  </si>
  <si>
    <t>Comparison Result &gt; 0.875</t>
  </si>
  <si>
    <t>Comparison Result  &lt;0.8</t>
  </si>
  <si>
    <t>Comparison Result  &lt; -0.2</t>
  </si>
  <si>
    <t>Comparison Result  Between -0.2 and -0.125</t>
  </si>
  <si>
    <t>Comparison Result  &gt; -0.125</t>
  </si>
  <si>
    <t>Comparison Result between 0.8 and 0.87</t>
  </si>
  <si>
    <t>Comparison Result Between 0.05 and 0.1</t>
  </si>
  <si>
    <t>Any Initial Scores &gt;0.8</t>
  </si>
  <si>
    <t>Any Initial Scores &lt;0.5</t>
  </si>
  <si>
    <t>Disparity Disqualified? (CI contains 1, or one of the limits &gt;1)</t>
  </si>
  <si>
    <t>This workbook contains sample data to demonstrate the disparity calculations</t>
  </si>
  <si>
    <t>Data ENTRY tab contains the data entry sheet and the walk through on the next page of this tab</t>
  </si>
  <si>
    <t>Viral Suppression Analysis and Engagement Analysis tabs walk through each probability and impact model</t>
  </si>
  <si>
    <t>Viral Suppression Summary and Engagement Summary tabs distill calculations from Analysis tabs into dashboards</t>
  </si>
  <si>
    <t>Use the summary dashboards to infer your most statistically significant disparities</t>
  </si>
  <si>
    <t>Practice entering your own data and seeing where you have disparities in your populations (see below)</t>
  </si>
  <si>
    <t xml:space="preserve">    a. Tell us how many providers you have within your network (if you are reporting all together as a network)</t>
  </si>
  <si>
    <t>Produce overall clinic numerator and denominator data for each measure</t>
  </si>
  <si>
    <t>Produce focus population numerator and denominator data for each measure</t>
  </si>
  <si>
    <t>Enter overall and focus population data into the Data ENTRY tab in this workbook; add comments</t>
  </si>
  <si>
    <t xml:space="preserve">Network leader provides DATA ENTRY tab to capture data </t>
  </si>
  <si>
    <t>Review SUMMARY tab and send with ANALYSIS tabs to CQM Committee</t>
  </si>
  <si>
    <t>Network leader provides technical assistance to sub-recipients synthesizing overall focus and population numerator/denominator data</t>
  </si>
  <si>
    <t>Network leader reviews SUMMARY tabs and sends with ANALYSIS tabs to network's CQM Committee</t>
  </si>
  <si>
    <t xml:space="preserve">     Explore the reasons why disparities could exist using Fishbone Root Cause Analysis.</t>
  </si>
  <si>
    <t xml:space="preserve">     This calculator is intended for quality management purposes only. It is not intended for monitoring and evaluation or research.</t>
  </si>
  <si>
    <t>For our purposes, ability to determine disparities is affected by measured scores plugged into equations</t>
  </si>
  <si>
    <t>DETERMINING DISPARITIES AND DEFINING RESULTS: the assumptions for each method have limitations</t>
  </si>
  <si>
    <t>Pop Performance</t>
  </si>
  <si>
    <t>Data Source(s): CAREWare</t>
  </si>
  <si>
    <t>Name of Reporting Agency:  Best Ever ASO</t>
  </si>
  <si>
    <t>Name of Staff Person Reporting:   B. Lever</t>
  </si>
  <si>
    <t>Viral Suppression (HAB)</t>
  </si>
  <si>
    <t>CQII Disparities Calculator</t>
  </si>
  <si>
    <t xml:space="preserve">The worksheet was developed by CQII, formerly NQC, in consultation with HAB and partners in the field. </t>
  </si>
  <si>
    <t>Welcome to the Disparities Calculator, developed in collaboration with New Solutions, Inc!</t>
  </si>
  <si>
    <t>Stats Basics tab includes a refresher on the statistics and terminology used in this Calculator</t>
  </si>
  <si>
    <t>Review the Disparities Calculator Guide and the corresponding slides</t>
  </si>
  <si>
    <t>Familiarize yourself with basic statistics involved with this Disparities Calculator</t>
  </si>
  <si>
    <t>Review the example and understand how data entry flows through the Calculator</t>
  </si>
  <si>
    <t>1. Update the Contact and Agency Name, Measurement Period, Reporting Date, and Data Source</t>
  </si>
  <si>
    <t>NOTE: the values for the target populations are independent of each other and don't add up to the total</t>
  </si>
  <si>
    <t xml:space="preserve">4. Provide data limitation and other comments as context regarding the quality and your confidence in the </t>
  </si>
  <si>
    <t>Review the instructions below to learn about what data you need to use this Disparities Calculator (1-4 below)</t>
  </si>
  <si>
    <t xml:space="preserve">    data you are submitting</t>
  </si>
  <si>
    <t>CQM Committee selects focus population and writes aim statement</t>
  </si>
  <si>
    <t>CQM Committee selects focus population and writes aim statement (inc. how sub-recipients participate)</t>
  </si>
  <si>
    <t>The populations identified for analysis are important national priorities</t>
  </si>
  <si>
    <t>If a result is showing as UNDEFINED RESULT it means we might want to ignore the method and move on</t>
  </si>
  <si>
    <t>If a confidence interval contains the value "1," the calculated result is not significant and should be ignored</t>
  </si>
  <si>
    <t>Complete the fields that have red boxes and blue text. All calculations throughout the workbook are driven by these data fields.</t>
  </si>
  <si>
    <t xml:space="preserve">     Refer to Stats Basics tab or to the Disparities Calculator Guide for more detailed informaton on interpreration.</t>
  </si>
  <si>
    <t xml:space="preserve">     Identify targets for QI activities based on highest impact (number of lives) and highest probability (number of YES DISPARITY findings).</t>
  </si>
  <si>
    <t xml:space="preserve">          This tool is for use in decision making on how to best utilize available QI resources.</t>
  </si>
  <si>
    <t xml:space="preserve">          Review scientific literature and the intervention grid for improvement intervention ideas.</t>
  </si>
  <si>
    <t xml:space="preserve">     While based on statistical sciences and proven methods, this tool provides best estimates of disparity.</t>
  </si>
  <si>
    <t xml:space="preserve">Visit https://cqii.glasscubes.com/share/s/lbq69neurq5dustcd7934v7r40 </t>
  </si>
  <si>
    <t xml:space="preserve">          For information on the disparities analysis resources, visit https://cqii.glasscubes.com/share/s/lbq69neurq5dustcd7934v7r40?2</t>
  </si>
  <si>
    <t xml:space="preserve">          For questions related to this workbook or calculating disparities contact CQII - Info@CQII.org</t>
  </si>
  <si>
    <t>info@CQII.org</t>
  </si>
  <si>
    <t>Reporting Date: 8/1/2020</t>
  </si>
  <si>
    <t>Measurement Period: 6/1/2019 - 5/31/2020</t>
  </si>
  <si>
    <r>
      <t>Youth (</t>
    </r>
    <r>
      <rPr>
        <u/>
        <sz val="14"/>
        <rFont val="Gadugi"/>
        <family val="2"/>
      </rPr>
      <t>&lt;</t>
    </r>
    <r>
      <rPr>
        <sz val="14"/>
        <rFont val="Gadugi"/>
        <family val="2"/>
      </rPr>
      <t>24)</t>
    </r>
  </si>
  <si>
    <r>
      <t>65</t>
    </r>
    <r>
      <rPr>
        <u/>
        <sz val="14"/>
        <rFont val="Gadugi"/>
        <family val="2"/>
      </rPr>
      <t>&gt;</t>
    </r>
  </si>
  <si>
    <t>40-64</t>
  </si>
  <si>
    <t>25-39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</si>
</sst>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Gadugi"/>
      <family val="2"/>
    </font>
    <font>
      <sz val="14"/>
      <name val="Gadugi"/>
      <family val="2"/>
    </font>
    <font>
      <b/>
      <sz val="14"/>
      <name val="Gadug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u/>
      <sz val="12"/>
      <name val="Calibri"/>
      <family val="2"/>
    </font>
    <font>
      <b/>
      <i/>
      <sz val="12"/>
      <name val="Calibri"/>
      <family val="2"/>
    </font>
    <font>
      <b/>
      <sz val="12"/>
      <name val="Gadugi"/>
      <family val="2"/>
    </font>
    <font>
      <sz val="12"/>
      <name val="Gadugi"/>
      <family val="2"/>
    </font>
    <font>
      <u/>
      <sz val="11"/>
      <color theme="10"/>
      <name val="Calibri"/>
      <family val="2"/>
      <scheme val="minor"/>
    </font>
    <font>
      <sz val="14"/>
      <color rgb="FF0070C0"/>
      <name val="Gadugi"/>
      <family val="2"/>
    </font>
    <font>
      <sz val="14"/>
      <color theme="1"/>
      <name val="Gadugi"/>
      <family val="2"/>
    </font>
    <font>
      <sz val="11"/>
      <color theme="1"/>
      <name val="Gadugi"/>
      <family val="2"/>
    </font>
    <font>
      <b/>
      <sz val="12"/>
      <color theme="1"/>
      <name val="Gadug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Gadugi"/>
      <family val="2"/>
    </font>
    <font>
      <b/>
      <sz val="12"/>
      <color theme="0"/>
      <name val="Calibri"/>
      <family val="2"/>
      <scheme val="minor"/>
    </font>
    <font>
      <sz val="12"/>
      <color theme="1"/>
      <name val="Gadugi"/>
      <family val="2"/>
    </font>
    <font>
      <b/>
      <sz val="12"/>
      <color theme="0"/>
      <name val="Gadugi"/>
      <family val="2"/>
    </font>
    <font>
      <sz val="10"/>
      <color theme="1"/>
      <name val="Gadugi"/>
      <family val="2"/>
    </font>
    <font>
      <sz val="10"/>
      <color theme="1"/>
      <name val="Calibri"/>
      <family val="2"/>
      <scheme val="minor"/>
    </font>
    <font>
      <b/>
      <sz val="14"/>
      <color theme="0"/>
      <name val="Gadugi"/>
      <family val="2"/>
    </font>
    <font>
      <u/>
      <sz val="12"/>
      <color theme="10"/>
      <name val="Gadugi"/>
      <family val="2"/>
    </font>
    <font>
      <u/>
      <sz val="14"/>
      <name val="Gadug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 style="medium">
        <color indexed="64"/>
      </top>
      <bottom style="thin">
        <color indexed="64"/>
      </bottom>
      <diagonal/>
    </border>
    <border>
      <left style="thick">
        <color theme="3"/>
      </left>
      <right/>
      <top/>
      <bottom style="thin">
        <color indexed="64"/>
      </bottom>
      <diagonal/>
    </border>
    <border>
      <left style="thick">
        <color theme="3"/>
      </left>
      <right/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n">
        <color indexed="64"/>
      </top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indexed="64"/>
      </left>
      <right style="thick">
        <color theme="3"/>
      </right>
      <top style="medium">
        <color indexed="64"/>
      </top>
      <bottom style="double">
        <color indexed="64"/>
      </bottom>
      <diagonal/>
    </border>
    <border>
      <left style="thick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medium">
        <color indexed="64"/>
      </left>
      <right style="thick">
        <color theme="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3"/>
      </right>
      <top style="thin">
        <color indexed="64"/>
      </top>
      <bottom style="medium">
        <color indexed="64"/>
      </bottom>
      <diagonal/>
    </border>
    <border>
      <left style="thick">
        <color theme="3"/>
      </left>
      <right style="medium">
        <color indexed="64"/>
      </right>
      <top style="thick">
        <color theme="3"/>
      </top>
      <bottom style="medium">
        <color indexed="64"/>
      </bottom>
      <diagonal/>
    </border>
    <border>
      <left style="thick">
        <color theme="3"/>
      </left>
      <right/>
      <top style="medium">
        <color indexed="64"/>
      </top>
      <bottom style="double">
        <color indexed="64"/>
      </bottom>
      <diagonal/>
    </border>
    <border>
      <left style="thick">
        <color theme="3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ck">
        <color theme="3"/>
      </left>
      <right style="medium">
        <color indexed="64"/>
      </right>
      <top style="thin">
        <color indexed="64"/>
      </top>
      <bottom style="thick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ck">
        <color theme="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3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theme="3"/>
      </top>
      <bottom style="medium">
        <color indexed="64"/>
      </bottom>
      <diagonal/>
    </border>
    <border>
      <left/>
      <right/>
      <top style="thick">
        <color theme="3"/>
      </top>
      <bottom style="medium">
        <color indexed="64"/>
      </bottom>
      <diagonal/>
    </border>
    <border>
      <left/>
      <right style="thick">
        <color theme="3"/>
      </right>
      <top style="thick">
        <color theme="3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" fillId="0" borderId="0"/>
  </cellStyleXfs>
  <cellXfs count="317">
    <xf numFmtId="0" fontId="0" fillId="0" borderId="0" xfId="0"/>
    <xf numFmtId="0" fontId="1" fillId="0" borderId="0" xfId="2" applyAlignment="1">
      <alignment vertical="center"/>
    </xf>
    <xf numFmtId="0" fontId="2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6" fillId="0" borderId="63" xfId="2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0" borderId="64" xfId="2" applyFont="1" applyBorder="1" applyAlignment="1" applyProtection="1">
      <alignment horizontal="left" vertical="center"/>
      <protection locked="0"/>
    </xf>
    <xf numFmtId="0" fontId="16" fillId="3" borderId="63" xfId="0" applyFont="1" applyFill="1" applyBorder="1" applyAlignment="1" applyProtection="1">
      <alignment vertical="center"/>
      <protection locked="0"/>
    </xf>
    <xf numFmtId="0" fontId="16" fillId="3" borderId="65" xfId="0" applyFont="1" applyFill="1" applyBorder="1" applyAlignment="1" applyProtection="1">
      <alignment vertical="center"/>
      <protection locked="0"/>
    </xf>
    <xf numFmtId="10" fontId="5" fillId="3" borderId="2" xfId="0" applyNumberFormat="1" applyFont="1" applyFill="1" applyBorder="1" applyAlignment="1" applyProtection="1">
      <alignment vertical="center"/>
    </xf>
    <xf numFmtId="0" fontId="16" fillId="0" borderId="63" xfId="0" applyFont="1" applyBorder="1" applyAlignment="1" applyProtection="1">
      <alignment vertical="center"/>
      <protection locked="0"/>
    </xf>
    <xf numFmtId="10" fontId="5" fillId="0" borderId="3" xfId="0" applyNumberFormat="1" applyFont="1" applyBorder="1" applyAlignment="1" applyProtection="1">
      <alignment vertical="center"/>
    </xf>
    <xf numFmtId="10" fontId="5" fillId="0" borderId="4" xfId="0" applyNumberFormat="1" applyFont="1" applyBorder="1" applyAlignment="1" applyProtection="1">
      <alignment vertical="center"/>
    </xf>
    <xf numFmtId="10" fontId="5" fillId="0" borderId="5" xfId="0" applyNumberFormat="1" applyFont="1" applyBorder="1" applyAlignment="1" applyProtection="1">
      <alignment vertical="center"/>
    </xf>
    <xf numFmtId="0" fontId="18" fillId="0" borderId="0" xfId="0" applyFont="1"/>
    <xf numFmtId="0" fontId="18" fillId="4" borderId="6" xfId="0" applyFont="1" applyFill="1" applyBorder="1"/>
    <xf numFmtId="0" fontId="18" fillId="4" borderId="1" xfId="0" applyFont="1" applyFill="1" applyBorder="1"/>
    <xf numFmtId="0" fontId="18" fillId="4" borderId="7" xfId="0" applyFont="1" applyFill="1" applyBorder="1"/>
    <xf numFmtId="0" fontId="18" fillId="4" borderId="8" xfId="0" applyFont="1" applyFill="1" applyBorder="1"/>
    <xf numFmtId="0" fontId="18" fillId="4" borderId="0" xfId="0" applyFont="1" applyFill="1" applyBorder="1"/>
    <xf numFmtId="0" fontId="18" fillId="4" borderId="9" xfId="0" applyFont="1" applyFill="1" applyBorder="1"/>
    <xf numFmtId="49" fontId="18" fillId="4" borderId="8" xfId="0" applyNumberFormat="1" applyFont="1" applyFill="1" applyBorder="1" applyAlignment="1">
      <alignment horizontal="right"/>
    </xf>
    <xf numFmtId="0" fontId="19" fillId="4" borderId="8" xfId="0" applyFont="1" applyFill="1" applyBorder="1"/>
    <xf numFmtId="49" fontId="4" fillId="4" borderId="8" xfId="2" applyNumberFormat="1" applyFont="1" applyFill="1" applyBorder="1" applyAlignment="1">
      <alignment horizontal="right" vertical="center"/>
    </xf>
    <xf numFmtId="0" fontId="4" fillId="4" borderId="0" xfId="2" applyFont="1" applyFill="1" applyBorder="1" applyAlignment="1">
      <alignment vertical="center"/>
    </xf>
    <xf numFmtId="49" fontId="18" fillId="4" borderId="8" xfId="0" applyNumberFormat="1" applyFont="1" applyFill="1" applyBorder="1"/>
    <xf numFmtId="0" fontId="18" fillId="4" borderId="10" xfId="0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0" xfId="0" applyFont="1" applyFill="1" applyBorder="1" applyAlignment="1">
      <alignment horizontal="right"/>
    </xf>
    <xf numFmtId="0" fontId="18" fillId="0" borderId="0" xfId="0" applyFont="1" applyProtection="1"/>
    <xf numFmtId="0" fontId="0" fillId="0" borderId="0" xfId="0" applyProtection="1"/>
    <xf numFmtId="0" fontId="18" fillId="4" borderId="6" xfId="0" applyFont="1" applyFill="1" applyBorder="1" applyProtection="1"/>
    <xf numFmtId="0" fontId="18" fillId="4" borderId="1" xfId="0" applyFont="1" applyFill="1" applyBorder="1" applyProtection="1"/>
    <xf numFmtId="0" fontId="18" fillId="4" borderId="7" xfId="0" applyFont="1" applyFill="1" applyBorder="1" applyProtection="1"/>
    <xf numFmtId="0" fontId="18" fillId="4" borderId="8" xfId="0" applyFont="1" applyFill="1" applyBorder="1" applyProtection="1"/>
    <xf numFmtId="0" fontId="18" fillId="4" borderId="0" xfId="0" applyFont="1" applyFill="1" applyBorder="1" applyProtection="1"/>
    <xf numFmtId="0" fontId="18" fillId="4" borderId="9" xfId="0" applyFont="1" applyFill="1" applyBorder="1" applyProtection="1"/>
    <xf numFmtId="0" fontId="19" fillId="4" borderId="8" xfId="0" applyFont="1" applyFill="1" applyBorder="1" applyProtection="1"/>
    <xf numFmtId="49" fontId="18" fillId="4" borderId="8" xfId="0" applyNumberFormat="1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right"/>
    </xf>
    <xf numFmtId="49" fontId="4" fillId="4" borderId="8" xfId="2" applyNumberFormat="1" applyFont="1" applyFill="1" applyBorder="1" applyAlignment="1" applyProtection="1">
      <alignment horizontal="right" vertical="center"/>
    </xf>
    <xf numFmtId="0" fontId="4" fillId="4" borderId="0" xfId="2" applyFont="1" applyFill="1" applyBorder="1" applyAlignment="1" applyProtection="1">
      <alignment vertical="center"/>
    </xf>
    <xf numFmtId="49" fontId="18" fillId="4" borderId="8" xfId="0" applyNumberFormat="1" applyFont="1" applyFill="1" applyBorder="1" applyProtection="1"/>
    <xf numFmtId="0" fontId="18" fillId="4" borderId="10" xfId="0" applyFont="1" applyFill="1" applyBorder="1" applyProtection="1"/>
    <xf numFmtId="0" fontId="18" fillId="4" borderId="11" xfId="0" applyFont="1" applyFill="1" applyBorder="1" applyProtection="1"/>
    <xf numFmtId="0" fontId="18" fillId="4" borderId="12" xfId="0" applyFont="1" applyFill="1" applyBorder="1" applyProtection="1"/>
    <xf numFmtId="0" fontId="5" fillId="2" borderId="13" xfId="2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3" borderId="14" xfId="2" applyFont="1" applyFill="1" applyBorder="1" applyAlignment="1" applyProtection="1">
      <alignment horizontal="left" vertical="center"/>
    </xf>
    <xf numFmtId="0" fontId="5" fillId="2" borderId="15" xfId="2" applyFont="1" applyFill="1" applyBorder="1" applyAlignment="1" applyProtection="1">
      <alignment horizontal="center" vertical="center"/>
    </xf>
    <xf numFmtId="0" fontId="5" fillId="2" borderId="16" xfId="2" applyFont="1" applyFill="1" applyBorder="1" applyAlignment="1" applyProtection="1">
      <alignment horizontal="center" vertical="center"/>
    </xf>
    <xf numFmtId="0" fontId="5" fillId="2" borderId="17" xfId="2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>
      <alignment horizontal="left"/>
    </xf>
    <xf numFmtId="0" fontId="16" fillId="3" borderId="66" xfId="0" applyFont="1" applyFill="1" applyBorder="1" applyAlignment="1" applyProtection="1">
      <alignment vertical="center"/>
      <protection locked="0"/>
    </xf>
    <xf numFmtId="0" fontId="5" fillId="2" borderId="18" xfId="2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0" fontId="8" fillId="5" borderId="21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right" vertical="center"/>
    </xf>
    <xf numFmtId="10" fontId="8" fillId="5" borderId="23" xfId="0" applyNumberFormat="1" applyFont="1" applyFill="1" applyBorder="1" applyAlignment="1">
      <alignment horizontal="right" vertical="center"/>
    </xf>
    <xf numFmtId="0" fontId="8" fillId="5" borderId="24" xfId="0" applyFont="1" applyFill="1" applyBorder="1" applyAlignment="1">
      <alignment horizontal="right" vertical="center"/>
    </xf>
    <xf numFmtId="10" fontId="9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0" fontId="9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quotePrefix="1" applyFont="1" applyBorder="1" applyAlignment="1">
      <alignment vertical="center"/>
    </xf>
    <xf numFmtId="0" fontId="7" fillId="0" borderId="74" xfId="0" quotePrefix="1" applyFont="1" applyBorder="1" applyAlignment="1">
      <alignment vertical="center"/>
    </xf>
    <xf numFmtId="0" fontId="7" fillId="0" borderId="75" xfId="0" quotePrefix="1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12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6" xfId="0" applyFont="1" applyBorder="1" applyAlignment="1">
      <alignment vertical="center" wrapText="1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0" fontId="7" fillId="0" borderId="79" xfId="0" applyFont="1" applyBorder="1" applyAlignment="1">
      <alignment vertical="center"/>
    </xf>
    <xf numFmtId="164" fontId="7" fillId="0" borderId="80" xfId="0" applyNumberFormat="1" applyFont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69" xfId="0" quotePrefix="1" applyFont="1" applyBorder="1" applyAlignment="1">
      <alignment vertical="center"/>
    </xf>
    <xf numFmtId="0" fontId="7" fillId="0" borderId="70" xfId="0" quotePrefix="1" applyFont="1" applyBorder="1" applyAlignment="1">
      <alignment vertical="center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2" fontId="7" fillId="0" borderId="80" xfId="0" applyNumberFormat="1" applyFont="1" applyBorder="1" applyAlignment="1">
      <alignment vertical="center"/>
    </xf>
    <xf numFmtId="1" fontId="7" fillId="0" borderId="80" xfId="0" applyNumberFormat="1" applyFont="1" applyBorder="1" applyAlignment="1">
      <alignment vertical="center"/>
    </xf>
    <xf numFmtId="0" fontId="7" fillId="0" borderId="7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7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7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20" fillId="0" borderId="33" xfId="0" applyNumberFormat="1" applyFont="1" applyBorder="1" applyAlignment="1">
      <alignment vertical="center" wrapText="1"/>
    </xf>
    <xf numFmtId="1" fontId="20" fillId="0" borderId="34" xfId="0" applyNumberFormat="1" applyFont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71" xfId="0" applyFont="1" applyBorder="1" applyAlignment="1">
      <alignment vertical="center"/>
    </xf>
    <xf numFmtId="0" fontId="20" fillId="0" borderId="72" xfId="0" applyFont="1" applyBorder="1" applyAlignment="1">
      <alignment vertical="center"/>
    </xf>
    <xf numFmtId="0" fontId="20" fillId="0" borderId="73" xfId="0" quotePrefix="1" applyFont="1" applyBorder="1" applyAlignment="1">
      <alignment vertical="center"/>
    </xf>
    <xf numFmtId="0" fontId="20" fillId="0" borderId="75" xfId="0" quotePrefix="1" applyFont="1" applyBorder="1" applyAlignment="1">
      <alignment vertical="center"/>
    </xf>
    <xf numFmtId="0" fontId="20" fillId="0" borderId="72" xfId="0" quotePrefix="1" applyFont="1" applyBorder="1" applyAlignment="1">
      <alignment vertical="center"/>
    </xf>
    <xf numFmtId="0" fontId="21" fillId="3" borderId="82" xfId="0" applyFont="1" applyFill="1" applyBorder="1" applyAlignment="1">
      <alignment horizontal="center" vertical="center" wrapText="1"/>
    </xf>
    <xf numFmtId="0" fontId="20" fillId="0" borderId="84" xfId="0" applyFont="1" applyBorder="1" applyAlignment="1">
      <alignment vertical="center" wrapText="1"/>
    </xf>
    <xf numFmtId="0" fontId="21" fillId="0" borderId="85" xfId="0" applyFont="1" applyFill="1" applyBorder="1" applyAlignment="1">
      <alignment vertical="center"/>
    </xf>
    <xf numFmtId="0" fontId="20" fillId="0" borderId="86" xfId="0" applyFont="1" applyBorder="1" applyAlignment="1">
      <alignment vertical="center" wrapText="1"/>
    </xf>
    <xf numFmtId="0" fontId="20" fillId="0" borderId="70" xfId="0" quotePrefix="1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20" fillId="0" borderId="75" xfId="0" applyFont="1" applyBorder="1" applyAlignment="1">
      <alignment vertical="center"/>
    </xf>
    <xf numFmtId="0" fontId="20" fillId="0" borderId="71" xfId="0" applyFont="1" applyBorder="1" applyAlignment="1">
      <alignment horizontal="center" vertical="center"/>
    </xf>
    <xf numFmtId="10" fontId="20" fillId="0" borderId="35" xfId="0" applyNumberFormat="1" applyFont="1" applyBorder="1" applyAlignment="1">
      <alignment vertical="center" wrapText="1"/>
    </xf>
    <xf numFmtId="10" fontId="20" fillId="0" borderId="36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8" fillId="4" borderId="0" xfId="0" applyFont="1" applyFill="1" applyBorder="1" applyAlignment="1" applyProtection="1">
      <alignment horizontal="left"/>
    </xf>
    <xf numFmtId="0" fontId="15" fillId="0" borderId="0" xfId="1" applyProtection="1"/>
    <xf numFmtId="1" fontId="21" fillId="0" borderId="27" xfId="0" applyNumberFormat="1" applyFont="1" applyBorder="1" applyAlignment="1">
      <alignment vertical="center" wrapText="1"/>
    </xf>
    <xf numFmtId="1" fontId="21" fillId="0" borderId="29" xfId="0" applyNumberFormat="1" applyFont="1" applyBorder="1" applyAlignment="1">
      <alignment vertical="center" wrapText="1"/>
    </xf>
    <xf numFmtId="1" fontId="21" fillId="0" borderId="30" xfId="0" applyNumberFormat="1" applyFont="1" applyBorder="1" applyAlignment="1">
      <alignment vertical="center" wrapText="1"/>
    </xf>
    <xf numFmtId="0" fontId="13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22" fillId="4" borderId="0" xfId="0" applyFont="1" applyFill="1" applyBorder="1"/>
    <xf numFmtId="0" fontId="0" fillId="4" borderId="0" xfId="0" applyFill="1" applyBorder="1" applyAlignment="1">
      <alignment horizontal="center" vertical="center" wrapText="1"/>
    </xf>
    <xf numFmtId="0" fontId="7" fillId="7" borderId="90" xfId="0" applyFont="1" applyFill="1" applyBorder="1" applyAlignment="1">
      <alignment vertical="center"/>
    </xf>
    <xf numFmtId="0" fontId="7" fillId="7" borderId="91" xfId="0" applyFont="1" applyFill="1" applyBorder="1" applyAlignment="1">
      <alignment vertical="center"/>
    </xf>
    <xf numFmtId="0" fontId="8" fillId="3" borderId="82" xfId="0" applyFont="1" applyFill="1" applyBorder="1" applyAlignment="1">
      <alignment horizontal="center" vertical="center"/>
    </xf>
    <xf numFmtId="0" fontId="8" fillId="5" borderId="73" xfId="0" applyFont="1" applyFill="1" applyBorder="1" applyAlignment="1">
      <alignment vertical="center"/>
    </xf>
    <xf numFmtId="0" fontId="8" fillId="5" borderId="86" xfId="0" applyFont="1" applyFill="1" applyBorder="1" applyAlignment="1">
      <alignment horizontal="right" vertical="center"/>
    </xf>
    <xf numFmtId="0" fontId="8" fillId="5" borderId="92" xfId="0" applyFont="1" applyFill="1" applyBorder="1" applyAlignment="1">
      <alignment vertical="center"/>
    </xf>
    <xf numFmtId="0" fontId="8" fillId="5" borderId="93" xfId="0" applyFont="1" applyFill="1" applyBorder="1" applyAlignment="1">
      <alignment horizontal="right" vertical="center"/>
    </xf>
    <xf numFmtId="0" fontId="9" fillId="0" borderId="73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10" fontId="9" fillId="0" borderId="95" xfId="0" applyNumberFormat="1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10" fontId="20" fillId="0" borderId="38" xfId="0" applyNumberFormat="1" applyFont="1" applyBorder="1" applyAlignment="1">
      <alignment vertical="center" wrapText="1"/>
    </xf>
    <xf numFmtId="1" fontId="20" fillId="0" borderId="39" xfId="0" applyNumberFormat="1" applyFont="1" applyBorder="1" applyAlignment="1">
      <alignment vertical="center" wrapText="1"/>
    </xf>
    <xf numFmtId="1" fontId="20" fillId="0" borderId="98" xfId="0" applyNumberFormat="1" applyFont="1" applyBorder="1" applyAlignment="1">
      <alignment vertical="center" wrapText="1"/>
    </xf>
    <xf numFmtId="0" fontId="20" fillId="0" borderId="98" xfId="0" applyFont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87" xfId="0" applyFont="1" applyFill="1" applyBorder="1" applyAlignment="1">
      <alignment vertical="center" wrapText="1"/>
    </xf>
    <xf numFmtId="0" fontId="21" fillId="0" borderId="88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vertical="center" wrapText="1"/>
    </xf>
    <xf numFmtId="164" fontId="21" fillId="4" borderId="42" xfId="0" applyNumberFormat="1" applyFont="1" applyFill="1" applyBorder="1" applyAlignment="1">
      <alignment vertical="center" wrapText="1"/>
    </xf>
    <xf numFmtId="164" fontId="21" fillId="4" borderId="43" xfId="0" applyNumberFormat="1" applyFont="1" applyFill="1" applyBorder="1" applyAlignment="1">
      <alignment vertical="center" wrapText="1"/>
    </xf>
    <xf numFmtId="164" fontId="21" fillId="4" borderId="44" xfId="0" applyNumberFormat="1" applyFont="1" applyFill="1" applyBorder="1" applyAlignment="1">
      <alignment vertical="center" wrapText="1"/>
    </xf>
    <xf numFmtId="164" fontId="21" fillId="4" borderId="45" xfId="0" applyNumberFormat="1" applyFont="1" applyFill="1" applyBorder="1" applyAlignment="1">
      <alignment vertical="center" wrapText="1"/>
    </xf>
    <xf numFmtId="164" fontId="21" fillId="4" borderId="46" xfId="0" applyNumberFormat="1" applyFont="1" applyFill="1" applyBorder="1" applyAlignment="1">
      <alignment vertical="center" wrapText="1"/>
    </xf>
    <xf numFmtId="2" fontId="23" fillId="4" borderId="47" xfId="0" applyNumberFormat="1" applyFont="1" applyFill="1" applyBorder="1" applyAlignment="1">
      <alignment vertical="center" wrapText="1"/>
    </xf>
    <xf numFmtId="0" fontId="23" fillId="4" borderId="48" xfId="0" applyFont="1" applyFill="1" applyBorder="1" applyAlignment="1">
      <alignment vertical="center" wrapText="1"/>
    </xf>
    <xf numFmtId="0" fontId="8" fillId="4" borderId="49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8" fillId="4" borderId="50" xfId="0" applyFont="1" applyFill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8" fillId="4" borderId="99" xfId="0" applyFont="1" applyFill="1" applyBorder="1" applyAlignment="1">
      <alignment vertical="center" wrapText="1"/>
    </xf>
    <xf numFmtId="0" fontId="20" fillId="0" borderId="100" xfId="0" applyFont="1" applyFill="1" applyBorder="1" applyAlignment="1">
      <alignment horizontal="center" vertical="center" wrapText="1"/>
    </xf>
    <xf numFmtId="2" fontId="21" fillId="4" borderId="42" xfId="0" applyNumberFormat="1" applyFont="1" applyFill="1" applyBorder="1" applyAlignment="1">
      <alignment vertical="center" wrapText="1"/>
    </xf>
    <xf numFmtId="2" fontId="21" fillId="4" borderId="43" xfId="0" applyNumberFormat="1" applyFont="1" applyFill="1" applyBorder="1" applyAlignment="1">
      <alignment vertical="center" wrapText="1"/>
    </xf>
    <xf numFmtId="2" fontId="21" fillId="4" borderId="44" xfId="0" applyNumberFormat="1" applyFont="1" applyFill="1" applyBorder="1" applyAlignment="1">
      <alignment vertical="center" wrapText="1"/>
    </xf>
    <xf numFmtId="0" fontId="8" fillId="3" borderId="101" xfId="0" applyFont="1" applyFill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8" fillId="0" borderId="102" xfId="0" applyFont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1" fontId="21" fillId="0" borderId="0" xfId="0" applyNumberFormat="1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7" borderId="51" xfId="0" applyFont="1" applyFill="1" applyBorder="1" applyAlignment="1">
      <alignment vertical="center" wrapText="1"/>
    </xf>
    <xf numFmtId="0" fontId="25" fillId="7" borderId="52" xfId="0" applyFont="1" applyFill="1" applyBorder="1" applyAlignment="1">
      <alignment horizontal="center" vertical="center" wrapText="1"/>
    </xf>
    <xf numFmtId="0" fontId="25" fillId="7" borderId="53" xfId="0" applyFont="1" applyFill="1" applyBorder="1" applyAlignment="1">
      <alignment horizontal="center" vertical="center" wrapText="1"/>
    </xf>
    <xf numFmtId="0" fontId="25" fillId="7" borderId="54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3" borderId="55" xfId="0" applyFont="1" applyFill="1" applyBorder="1" applyAlignment="1">
      <alignment wrapText="1"/>
    </xf>
    <xf numFmtId="0" fontId="24" fillId="3" borderId="40" xfId="0" applyFont="1" applyFill="1" applyBorder="1" applyAlignment="1">
      <alignment horizontal="right" wrapText="1"/>
    </xf>
    <xf numFmtId="0" fontId="24" fillId="3" borderId="56" xfId="0" applyFont="1" applyFill="1" applyBorder="1" applyAlignment="1">
      <alignment horizontal="right" wrapText="1"/>
    </xf>
    <xf numFmtId="0" fontId="24" fillId="3" borderId="49" xfId="0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19" fillId="3" borderId="57" xfId="0" applyFont="1" applyFill="1" applyBorder="1" applyAlignment="1">
      <alignment wrapText="1"/>
    </xf>
    <xf numFmtId="10" fontId="24" fillId="3" borderId="23" xfId="0" applyNumberFormat="1" applyFont="1" applyFill="1" applyBorder="1" applyAlignment="1">
      <alignment horizontal="right" wrapText="1"/>
    </xf>
    <xf numFmtId="10" fontId="24" fillId="3" borderId="58" xfId="0" applyNumberFormat="1" applyFont="1" applyFill="1" applyBorder="1" applyAlignment="1">
      <alignment horizontal="right" wrapText="1"/>
    </xf>
    <xf numFmtId="10" fontId="24" fillId="3" borderId="24" xfId="0" applyNumberFormat="1" applyFont="1" applyFill="1" applyBorder="1" applyAlignment="1">
      <alignment horizontal="right" wrapText="1"/>
    </xf>
    <xf numFmtId="0" fontId="13" fillId="8" borderId="55" xfId="0" applyFont="1" applyFill="1" applyBorder="1"/>
    <xf numFmtId="0" fontId="24" fillId="0" borderId="2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8" borderId="59" xfId="0" applyFont="1" applyFill="1" applyBorder="1"/>
    <xf numFmtId="0" fontId="24" fillId="0" borderId="25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3" fillId="8" borderId="57" xfId="0" applyFont="1" applyFill="1" applyBorder="1"/>
    <xf numFmtId="0" fontId="24" fillId="0" borderId="23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5" fillId="0" borderId="27" xfId="2" applyFont="1" applyBorder="1" applyAlignment="1" applyProtection="1">
      <alignment vertical="center"/>
    </xf>
    <xf numFmtId="0" fontId="5" fillId="0" borderId="28" xfId="2" applyFont="1" applyBorder="1" applyAlignment="1" applyProtection="1">
      <alignment vertical="center"/>
    </xf>
    <xf numFmtId="0" fontId="5" fillId="0" borderId="37" xfId="2" applyFont="1" applyBorder="1" applyAlignment="1" applyProtection="1">
      <alignment vertical="center"/>
    </xf>
    <xf numFmtId="0" fontId="16" fillId="3" borderId="63" xfId="2" applyFont="1" applyFill="1" applyBorder="1" applyAlignment="1" applyProtection="1">
      <alignment horizontal="right" vertical="center"/>
      <protection locked="0"/>
    </xf>
    <xf numFmtId="0" fontId="16" fillId="0" borderId="63" xfId="2" applyFont="1" applyBorder="1" applyAlignment="1" applyProtection="1">
      <alignment horizontal="right" vertical="center"/>
      <protection locked="0"/>
    </xf>
    <xf numFmtId="0" fontId="15" fillId="0" borderId="0" xfId="1" applyAlignment="1">
      <alignment vertical="center"/>
    </xf>
    <xf numFmtId="0" fontId="1" fillId="0" borderId="0" xfId="2" applyFill="1" applyBorder="1" applyAlignment="1">
      <alignment vertical="center"/>
    </xf>
    <xf numFmtId="0" fontId="18" fillId="9" borderId="0" xfId="0" applyFont="1" applyFill="1"/>
    <xf numFmtId="0" fontId="18" fillId="9" borderId="0" xfId="0" applyFont="1" applyFill="1" applyProtection="1"/>
    <xf numFmtId="0" fontId="0" fillId="9" borderId="0" xfId="0" applyFill="1" applyProtection="1"/>
    <xf numFmtId="0" fontId="1" fillId="9" borderId="0" xfId="2" applyFill="1" applyAlignment="1">
      <alignment vertical="center"/>
    </xf>
    <xf numFmtId="49" fontId="14" fillId="4" borderId="8" xfId="2" applyNumberFormat="1" applyFont="1" applyFill="1" applyBorder="1" applyAlignment="1">
      <alignment horizontal="right" vertical="center"/>
    </xf>
    <xf numFmtId="0" fontId="24" fillId="4" borderId="0" xfId="0" applyFont="1" applyFill="1" applyBorder="1" applyAlignment="1">
      <alignment horizontal="right"/>
    </xf>
    <xf numFmtId="0" fontId="24" fillId="4" borderId="0" xfId="0" applyFont="1" applyFill="1" applyBorder="1" applyAlignment="1" applyProtection="1">
      <alignment horizontal="right"/>
    </xf>
    <xf numFmtId="0" fontId="24" fillId="4" borderId="0" xfId="0" applyFont="1" applyFill="1" applyBorder="1" applyProtection="1"/>
    <xf numFmtId="0" fontId="3" fillId="9" borderId="0" xfId="2" applyFont="1" applyFill="1" applyBorder="1" applyAlignment="1">
      <alignment vertical="center"/>
    </xf>
    <xf numFmtId="0" fontId="25" fillId="7" borderId="8" xfId="0" applyFont="1" applyFill="1" applyBorder="1"/>
    <xf numFmtId="1" fontId="19" fillId="3" borderId="15" xfId="0" applyNumberFormat="1" applyFont="1" applyFill="1" applyBorder="1"/>
    <xf numFmtId="1" fontId="19" fillId="3" borderId="16" xfId="0" applyNumberFormat="1" applyFont="1" applyFill="1" applyBorder="1"/>
    <xf numFmtId="1" fontId="19" fillId="3" borderId="108" xfId="0" applyNumberFormat="1" applyFont="1" applyFill="1" applyBorder="1"/>
    <xf numFmtId="0" fontId="24" fillId="0" borderId="0" xfId="0" applyFont="1" applyBorder="1"/>
    <xf numFmtId="0" fontId="19" fillId="0" borderId="0" xfId="0" applyFont="1" applyBorder="1"/>
    <xf numFmtId="0" fontId="18" fillId="0" borderId="0" xfId="0" applyFont="1" applyBorder="1"/>
    <xf numFmtId="0" fontId="4" fillId="0" borderId="0" xfId="0" applyFont="1" applyBorder="1"/>
    <xf numFmtId="0" fontId="0" fillId="0" borderId="0" xfId="0" applyFill="1"/>
    <xf numFmtId="0" fontId="26" fillId="8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0" borderId="10" xfId="0" applyFont="1" applyBorder="1" applyAlignment="1"/>
    <xf numFmtId="0" fontId="27" fillId="0" borderId="12" xfId="0" applyFont="1" applyBorder="1" applyAlignment="1"/>
    <xf numFmtId="0" fontId="27" fillId="3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" xfId="0" applyFont="1" applyBorder="1" applyAlignment="1"/>
    <xf numFmtId="0" fontId="27" fillId="0" borderId="7" xfId="0" applyFont="1" applyBorder="1" applyAlignment="1"/>
    <xf numFmtId="0" fontId="27" fillId="0" borderId="8" xfId="0" applyFont="1" applyBorder="1" applyAlignment="1"/>
    <xf numFmtId="0" fontId="27" fillId="0" borderId="0" xfId="0" applyFont="1" applyBorder="1" applyAlignment="1"/>
    <xf numFmtId="0" fontId="27" fillId="0" borderId="9" xfId="0" applyFont="1" applyBorder="1" applyAlignment="1"/>
    <xf numFmtId="0" fontId="27" fillId="0" borderId="11" xfId="0" applyFont="1" applyBorder="1" applyAlignment="1"/>
    <xf numFmtId="0" fontId="0" fillId="0" borderId="0" xfId="0" applyFill="1"/>
    <xf numFmtId="0" fontId="27" fillId="3" borderId="0" xfId="0" applyFont="1" applyFill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6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07" xfId="0" applyFont="1" applyBorder="1" applyAlignment="1">
      <alignment vertical="center"/>
    </xf>
    <xf numFmtId="0" fontId="5" fillId="2" borderId="55" xfId="2" applyFont="1" applyFill="1" applyBorder="1" applyAlignment="1" applyProtection="1">
      <alignment horizontal="center" vertical="center"/>
    </xf>
    <xf numFmtId="0" fontId="5" fillId="2" borderId="57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40" xfId="2" applyFont="1" applyFill="1" applyBorder="1" applyAlignment="1" applyProtection="1">
      <alignment horizontal="center" vertical="center" wrapText="1"/>
    </xf>
    <xf numFmtId="0" fontId="5" fillId="2" borderId="56" xfId="2" applyFont="1" applyFill="1" applyBorder="1" applyAlignment="1" applyProtection="1">
      <alignment horizontal="center" vertical="center" wrapText="1"/>
    </xf>
    <xf numFmtId="0" fontId="5" fillId="2" borderId="49" xfId="2" applyFont="1" applyFill="1" applyBorder="1" applyAlignment="1" applyProtection="1">
      <alignment horizontal="center" vertical="center" wrapText="1"/>
    </xf>
    <xf numFmtId="0" fontId="29" fillId="9" borderId="0" xfId="1" applyFont="1" applyFill="1" applyAlignment="1">
      <alignment vertical="center"/>
    </xf>
    <xf numFmtId="0" fontId="28" fillId="7" borderId="60" xfId="0" applyFont="1" applyFill="1" applyBorder="1" applyAlignment="1">
      <alignment horizontal="center"/>
    </xf>
    <xf numFmtId="0" fontId="28" fillId="7" borderId="61" xfId="0" applyFont="1" applyFill="1" applyBorder="1" applyAlignment="1">
      <alignment horizontal="center"/>
    </xf>
    <xf numFmtId="0" fontId="28" fillId="7" borderId="62" xfId="0" applyFont="1" applyFill="1" applyBorder="1" applyAlignment="1">
      <alignment horizontal="center"/>
    </xf>
    <xf numFmtId="0" fontId="29" fillId="0" borderId="0" xfId="1" applyFont="1" applyBorder="1" applyAlignment="1">
      <alignment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104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7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color rgb="FFFF0000"/>
      </font>
    </dxf>
    <dxf>
      <font>
        <color theme="9" tint="-0.499984740745262"/>
      </font>
    </dxf>
    <dxf>
      <font>
        <color rgb="FF00B05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theme="0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67</xdr:row>
      <xdr:rowOff>0</xdr:rowOff>
    </xdr:from>
    <xdr:to>
      <xdr:col>5</xdr:col>
      <xdr:colOff>571500</xdr:colOff>
      <xdr:row>67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505075" y="14754225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67</xdr:row>
      <xdr:rowOff>9525</xdr:rowOff>
    </xdr:from>
    <xdr:to>
      <xdr:col>8</xdr:col>
      <xdr:colOff>561975</xdr:colOff>
      <xdr:row>67</xdr:row>
      <xdr:rowOff>9525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324350" y="14763750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69</xdr:row>
      <xdr:rowOff>28575</xdr:rowOff>
    </xdr:from>
    <xdr:to>
      <xdr:col>10</xdr:col>
      <xdr:colOff>257175</xdr:colOff>
      <xdr:row>70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800725" y="15173325"/>
          <a:ext cx="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72</xdr:row>
      <xdr:rowOff>28575</xdr:rowOff>
    </xdr:from>
    <xdr:to>
      <xdr:col>5</xdr:col>
      <xdr:colOff>600075</xdr:colOff>
      <xdr:row>72</xdr:row>
      <xdr:rowOff>28575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486025" y="15754350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72</xdr:row>
      <xdr:rowOff>38100</xdr:rowOff>
    </xdr:from>
    <xdr:to>
      <xdr:col>9</xdr:col>
      <xdr:colOff>0</xdr:colOff>
      <xdr:row>72</xdr:row>
      <xdr:rowOff>38100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4324350" y="15763875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79</xdr:row>
      <xdr:rowOff>38100</xdr:rowOff>
    </xdr:from>
    <xdr:to>
      <xdr:col>6</xdr:col>
      <xdr:colOff>552450</xdr:colOff>
      <xdr:row>79</xdr:row>
      <xdr:rowOff>38100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095625" y="17116425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79</xdr:row>
      <xdr:rowOff>38100</xdr:rowOff>
    </xdr:from>
    <xdr:to>
      <xdr:col>9</xdr:col>
      <xdr:colOff>571500</xdr:colOff>
      <xdr:row>79</xdr:row>
      <xdr:rowOff>38100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4943475" y="17116425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80</xdr:row>
      <xdr:rowOff>190500</xdr:rowOff>
    </xdr:from>
    <xdr:to>
      <xdr:col>11</xdr:col>
      <xdr:colOff>600075</xdr:colOff>
      <xdr:row>81</xdr:row>
      <xdr:rowOff>180975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753225" y="17459325"/>
          <a:ext cx="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84</xdr:row>
      <xdr:rowOff>28575</xdr:rowOff>
    </xdr:from>
    <xdr:to>
      <xdr:col>11</xdr:col>
      <xdr:colOff>0</xdr:colOff>
      <xdr:row>84</xdr:row>
      <xdr:rowOff>28575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5543550" y="18078450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84</xdr:row>
      <xdr:rowOff>9525</xdr:rowOff>
    </xdr:from>
    <xdr:to>
      <xdr:col>7</xdr:col>
      <xdr:colOff>0</xdr:colOff>
      <xdr:row>84</xdr:row>
      <xdr:rowOff>9525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3105150" y="18059400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21771</xdr:colOff>
      <xdr:row>34</xdr:row>
      <xdr:rowOff>48986</xdr:rowOff>
    </xdr:from>
    <xdr:to>
      <xdr:col>13</xdr:col>
      <xdr:colOff>267910</xdr:colOff>
      <xdr:row>46</xdr:row>
      <xdr:rowOff>153609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1D62744-52CF-48B4-92CF-1E5109612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3257" y="7424057"/>
          <a:ext cx="7196667" cy="2276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2362200</xdr:colOff>
      <xdr:row>23</xdr:row>
      <xdr:rowOff>200025</xdr:rowOff>
    </xdr:from>
    <xdr:to>
      <xdr:col>0</xdr:col>
      <xdr:colOff>4143375</xdr:colOff>
      <xdr:row>25</xdr:row>
      <xdr:rowOff>238125</xdr:rowOff>
    </xdr:to>
    <xdr:sp macro="" textlink="">
      <xdr:nvSpPr>
        <xdr:cNvPr id="2057" name="CommandButton1">
          <a:extLst>
            <a:ext uri="{63B3BB69-23CF-44E3-9099-C40C66FF867C}">
              <a14:compatExt xmlns:a14="http://schemas.microsoft.com/office/drawing/2010/main" spid="_x0000_s2057"/>
            </a:ex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23</xdr:row>
      <xdr:rowOff>200025</xdr:rowOff>
    </xdr:from>
    <xdr:to>
      <xdr:col>3</xdr:col>
      <xdr:colOff>361950</xdr:colOff>
      <xdr:row>26</xdr:row>
      <xdr:rowOff>0</xdr:rowOff>
    </xdr:to>
    <xdr:sp macro="" textlink="">
      <xdr:nvSpPr>
        <xdr:cNvPr id="2074" name="CommandButton5">
          <a:extLst>
            <a:ext uri="{63B3BB69-23CF-44E3-9099-C40C66FF867C}">
              <a14:compatExt xmlns:a14="http://schemas.microsoft.com/office/drawing/2010/main" spid="_x0000_s2074"/>
            </a:ex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3743547</xdr:colOff>
      <xdr:row>0</xdr:row>
      <xdr:rowOff>44304</xdr:rowOff>
    </xdr:from>
    <xdr:to>
      <xdr:col>5</xdr:col>
      <xdr:colOff>694544</xdr:colOff>
      <xdr:row>4</xdr:row>
      <xdr:rowOff>132909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547" y="44304"/>
          <a:ext cx="4227654" cy="1063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15</xdr:row>
      <xdr:rowOff>9525</xdr:rowOff>
    </xdr:from>
    <xdr:to>
      <xdr:col>4</xdr:col>
      <xdr:colOff>1371600</xdr:colOff>
      <xdr:row>22</xdr:row>
      <xdr:rowOff>200025</xdr:rowOff>
    </xdr:to>
    <xdr:pic>
      <xdr:nvPicPr>
        <xdr:cNvPr id="3261" name="Picture 6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248025"/>
          <a:ext cx="19145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381000</xdr:colOff>
      <xdr:row>14</xdr:row>
      <xdr:rowOff>28575</xdr:rowOff>
    </xdr:from>
    <xdr:to>
      <xdr:col>4</xdr:col>
      <xdr:colOff>1295400</xdr:colOff>
      <xdr:row>15</xdr:row>
      <xdr:rowOff>76200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953250" y="3057525"/>
          <a:ext cx="914400" cy="257175"/>
        </a:xfrm>
        <a:prstGeom prst="wedgeEllipseCallout">
          <a:avLst>
            <a:gd name="adj1" fmla="val 46001"/>
            <a:gd name="adj2" fmla="val 5462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eaLnBrk="0" fontAlgn="base" hangingPunct="0">
            <a:spcBef>
              <a:spcPts val="0"/>
            </a:spcBef>
            <a:spcAft>
              <a:spcPts val="0"/>
            </a:spcAft>
          </a:pPr>
          <a:r>
            <a:rPr lang="en-US" sz="1100" kern="1200">
              <a:solidFill>
                <a:srgbClr val="FFFFF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FOCUS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161925</xdr:colOff>
      <xdr:row>22</xdr:row>
      <xdr:rowOff>47624</xdr:rowOff>
    </xdr:from>
    <xdr:to>
      <xdr:col>3</xdr:col>
      <xdr:colOff>1076325</xdr:colOff>
      <xdr:row>23</xdr:row>
      <xdr:rowOff>104774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153025" y="4714874"/>
          <a:ext cx="914400" cy="257175"/>
        </a:xfrm>
        <a:prstGeom prst="wedgeEllipseCallout">
          <a:avLst>
            <a:gd name="adj1" fmla="val 52251"/>
            <a:gd name="adj2" fmla="val -126855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eaLnBrk="0" fontAlgn="base" hangingPunct="0">
            <a:spcBef>
              <a:spcPts val="0"/>
            </a:spcBef>
            <a:spcAft>
              <a:spcPts val="0"/>
            </a:spcAft>
          </a:pPr>
          <a:r>
            <a:rPr lang="en-US" sz="1100" kern="1200">
              <a:solidFill>
                <a:srgbClr val="FFFFF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AVOID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514039</xdr:colOff>
      <xdr:row>72</xdr:row>
      <xdr:rowOff>22778</xdr:rowOff>
    </xdr:from>
    <xdr:to>
      <xdr:col>1</xdr:col>
      <xdr:colOff>954570</xdr:colOff>
      <xdr:row>73</xdr:row>
      <xdr:rowOff>58496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067278" y="16662539"/>
          <a:ext cx="440531" cy="234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0.67</a:t>
          </a:r>
        </a:p>
      </xdr:txBody>
    </xdr:sp>
    <xdr:clientData/>
  </xdr:twoCellAnchor>
  <xdr:twoCellAnchor>
    <xdr:from>
      <xdr:col>3</xdr:col>
      <xdr:colOff>860254</xdr:colOff>
      <xdr:row>72</xdr:row>
      <xdr:rowOff>51147</xdr:rowOff>
    </xdr:from>
    <xdr:to>
      <xdr:col>3</xdr:col>
      <xdr:colOff>1150766</xdr:colOff>
      <xdr:row>73</xdr:row>
      <xdr:rowOff>91627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577450" y="16690908"/>
          <a:ext cx="290512" cy="23926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722866</xdr:colOff>
      <xdr:row>72</xdr:row>
      <xdr:rowOff>79719</xdr:rowOff>
    </xdr:from>
    <xdr:to>
      <xdr:col>0</xdr:col>
      <xdr:colOff>999090</xdr:colOff>
      <xdr:row>73</xdr:row>
      <xdr:rowOff>89245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22866" y="16719480"/>
          <a:ext cx="276224" cy="20830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402431</xdr:colOff>
      <xdr:row>54</xdr:row>
      <xdr:rowOff>69055</xdr:rowOff>
    </xdr:from>
    <xdr:to>
      <xdr:col>3</xdr:col>
      <xdr:colOff>926306</xdr:colOff>
      <xdr:row>55</xdr:row>
      <xdr:rowOff>140494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117556" y="12975430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80%</a:t>
          </a:r>
        </a:p>
      </xdr:txBody>
    </xdr:sp>
    <xdr:clientData/>
  </xdr:twoCellAnchor>
  <xdr:twoCellAnchor>
    <xdr:from>
      <xdr:col>1</xdr:col>
      <xdr:colOff>1299438</xdr:colOff>
      <xdr:row>57</xdr:row>
      <xdr:rowOff>56011</xdr:rowOff>
    </xdr:from>
    <xdr:to>
      <xdr:col>2</xdr:col>
      <xdr:colOff>308009</xdr:colOff>
      <xdr:row>58</xdr:row>
      <xdr:rowOff>98875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4852677" y="12976881"/>
          <a:ext cx="590549" cy="24164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-0.125</a:t>
          </a:r>
        </a:p>
      </xdr:txBody>
    </xdr:sp>
    <xdr:clientData/>
  </xdr:twoCellAnchor>
  <xdr:twoCellAnchor>
    <xdr:from>
      <xdr:col>3</xdr:col>
      <xdr:colOff>800722</xdr:colOff>
      <xdr:row>57</xdr:row>
      <xdr:rowOff>99807</xdr:rowOff>
    </xdr:from>
    <xdr:to>
      <xdr:col>3</xdr:col>
      <xdr:colOff>1091234</xdr:colOff>
      <xdr:row>58</xdr:row>
      <xdr:rowOff>140287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7517918" y="13020677"/>
          <a:ext cx="290512" cy="23926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632689</xdr:colOff>
      <xdr:row>57</xdr:row>
      <xdr:rowOff>76202</xdr:rowOff>
    </xdr:from>
    <xdr:to>
      <xdr:col>0</xdr:col>
      <xdr:colOff>1008925</xdr:colOff>
      <xdr:row>58</xdr:row>
      <xdr:rowOff>107156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632689" y="12997072"/>
          <a:ext cx="376236" cy="22973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-∞</a:t>
          </a:r>
          <a:endParaRPr lang="en-US" sz="1100"/>
        </a:p>
      </xdr:txBody>
    </xdr:sp>
    <xdr:clientData/>
  </xdr:twoCellAnchor>
  <xdr:twoCellAnchor>
    <xdr:from>
      <xdr:col>3</xdr:col>
      <xdr:colOff>400049</xdr:colOff>
      <xdr:row>36</xdr:row>
      <xdr:rowOff>42861</xdr:rowOff>
    </xdr:from>
    <xdr:to>
      <xdr:col>3</xdr:col>
      <xdr:colOff>923924</xdr:colOff>
      <xdr:row>37</xdr:row>
      <xdr:rowOff>114299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7115174" y="7912892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80%</a:t>
          </a:r>
        </a:p>
      </xdr:txBody>
    </xdr:sp>
    <xdr:clientData/>
  </xdr:twoCellAnchor>
  <xdr:twoCellAnchor>
    <xdr:from>
      <xdr:col>1</xdr:col>
      <xdr:colOff>1257300</xdr:colOff>
      <xdr:row>39</xdr:row>
      <xdr:rowOff>59530</xdr:rowOff>
    </xdr:from>
    <xdr:to>
      <xdr:col>2</xdr:col>
      <xdr:colOff>266699</xdr:colOff>
      <xdr:row>40</xdr:row>
      <xdr:rowOff>102394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4810125" y="8260555"/>
          <a:ext cx="590549" cy="24288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0.875</a:t>
          </a:r>
        </a:p>
      </xdr:txBody>
    </xdr:sp>
    <xdr:clientData/>
  </xdr:twoCellAnchor>
  <xdr:twoCellAnchor>
    <xdr:from>
      <xdr:col>3</xdr:col>
      <xdr:colOff>779290</xdr:colOff>
      <xdr:row>39</xdr:row>
      <xdr:rowOff>41621</xdr:rowOff>
    </xdr:from>
    <xdr:to>
      <xdr:col>3</xdr:col>
      <xdr:colOff>1069802</xdr:colOff>
      <xdr:row>40</xdr:row>
      <xdr:rowOff>82101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7496486" y="8183425"/>
          <a:ext cx="290512" cy="2392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2597944</xdr:colOff>
      <xdr:row>39</xdr:row>
      <xdr:rowOff>40480</xdr:rowOff>
    </xdr:from>
    <xdr:to>
      <xdr:col>0</xdr:col>
      <xdr:colOff>3121819</xdr:colOff>
      <xdr:row>40</xdr:row>
      <xdr:rowOff>111918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2597944" y="8241505"/>
          <a:ext cx="523875" cy="2714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0.8</a:t>
          </a:r>
        </a:p>
      </xdr:txBody>
    </xdr:sp>
    <xdr:clientData/>
  </xdr:twoCellAnchor>
  <xdr:twoCellAnchor>
    <xdr:from>
      <xdr:col>0</xdr:col>
      <xdr:colOff>617055</xdr:colOff>
      <xdr:row>39</xdr:row>
      <xdr:rowOff>61914</xdr:rowOff>
    </xdr:from>
    <xdr:to>
      <xdr:col>0</xdr:col>
      <xdr:colOff>993291</xdr:colOff>
      <xdr:row>40</xdr:row>
      <xdr:rowOff>92868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617055" y="8203718"/>
          <a:ext cx="376236" cy="22973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0</a:t>
          </a:r>
          <a:endParaRPr lang="en-US" sz="1100"/>
        </a:p>
      </xdr:txBody>
    </xdr:sp>
    <xdr:clientData/>
  </xdr:twoCellAnchor>
  <xdr:twoCellAnchor>
    <xdr:from>
      <xdr:col>0</xdr:col>
      <xdr:colOff>2651262</xdr:colOff>
      <xdr:row>57</xdr:row>
      <xdr:rowOff>39342</xdr:rowOff>
    </xdr:from>
    <xdr:to>
      <xdr:col>0</xdr:col>
      <xdr:colOff>3065601</xdr:colOff>
      <xdr:row>58</xdr:row>
      <xdr:rowOff>98874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2651262" y="12960212"/>
          <a:ext cx="414339" cy="25831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-0.2</a:t>
          </a:r>
        </a:p>
      </xdr:txBody>
    </xdr:sp>
    <xdr:clientData/>
  </xdr:twoCellAnchor>
  <xdr:twoCellAnchor editAs="oneCell">
    <xdr:from>
      <xdr:col>0</xdr:col>
      <xdr:colOff>571500</xdr:colOff>
      <xdr:row>22</xdr:row>
      <xdr:rowOff>19050</xdr:rowOff>
    </xdr:from>
    <xdr:to>
      <xdr:col>3</xdr:col>
      <xdr:colOff>1028700</xdr:colOff>
      <xdr:row>23</xdr:row>
      <xdr:rowOff>104775</xdr:rowOff>
    </xdr:to>
    <xdr:pic>
      <xdr:nvPicPr>
        <xdr:cNvPr id="13848" name="Picture 34">
          <a:extLst>
            <a:ext uri="{FF2B5EF4-FFF2-40B4-BE49-F238E27FC236}">
              <a16:creationId xmlns:a16="http://schemas.microsoft.com/office/drawing/2014/main" id="{00000000-0008-0000-0400-00001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95800"/>
          <a:ext cx="7172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733688</xdr:colOff>
      <xdr:row>21</xdr:row>
      <xdr:rowOff>13768</xdr:rowOff>
    </xdr:from>
    <xdr:to>
      <xdr:col>3</xdr:col>
      <xdr:colOff>1024200</xdr:colOff>
      <xdr:row>22</xdr:row>
      <xdr:rowOff>54248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7448813" y="3954737"/>
          <a:ext cx="290512" cy="24288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583141</xdr:colOff>
      <xdr:row>21</xdr:row>
      <xdr:rowOff>33876</xdr:rowOff>
    </xdr:from>
    <xdr:to>
      <xdr:col>0</xdr:col>
      <xdr:colOff>959377</xdr:colOff>
      <xdr:row>22</xdr:row>
      <xdr:rowOff>64830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583141" y="3974845"/>
          <a:ext cx="376236" cy="2333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0</a:t>
          </a:r>
          <a:endParaRPr lang="en-US" sz="1100"/>
        </a:p>
      </xdr:txBody>
    </xdr:sp>
    <xdr:clientData/>
  </xdr:twoCellAnchor>
  <xdr:twoCellAnchor>
    <xdr:from>
      <xdr:col>1</xdr:col>
      <xdr:colOff>1259678</xdr:colOff>
      <xdr:row>21</xdr:row>
      <xdr:rowOff>27787</xdr:rowOff>
    </xdr:from>
    <xdr:to>
      <xdr:col>2</xdr:col>
      <xdr:colOff>200022</xdr:colOff>
      <xdr:row>22</xdr:row>
      <xdr:rowOff>99226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4807741" y="3968756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0.10</a:t>
          </a:r>
        </a:p>
      </xdr:txBody>
    </xdr:sp>
    <xdr:clientData/>
  </xdr:twoCellAnchor>
  <xdr:twoCellAnchor>
    <xdr:from>
      <xdr:col>0</xdr:col>
      <xdr:colOff>2547142</xdr:colOff>
      <xdr:row>21</xdr:row>
      <xdr:rowOff>21437</xdr:rowOff>
    </xdr:from>
    <xdr:to>
      <xdr:col>0</xdr:col>
      <xdr:colOff>3071017</xdr:colOff>
      <xdr:row>22</xdr:row>
      <xdr:rowOff>92876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2547142" y="3962406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0.05</a:t>
          </a:r>
        </a:p>
      </xdr:txBody>
    </xdr:sp>
    <xdr:clientData/>
  </xdr:twoCellAnchor>
  <xdr:twoCellAnchor>
    <xdr:from>
      <xdr:col>2</xdr:col>
      <xdr:colOff>1522678</xdr:colOff>
      <xdr:row>18</xdr:row>
      <xdr:rowOff>35717</xdr:rowOff>
    </xdr:from>
    <xdr:to>
      <xdr:col>3</xdr:col>
      <xdr:colOff>463022</xdr:colOff>
      <xdr:row>19</xdr:row>
      <xdr:rowOff>107155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6654272" y="3357561"/>
          <a:ext cx="523875" cy="27384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50%</a:t>
          </a:r>
        </a:p>
      </xdr:txBody>
    </xdr:sp>
    <xdr:clientData/>
  </xdr:twoCellAnchor>
  <xdr:twoCellAnchor editAs="oneCell">
    <xdr:from>
      <xdr:col>2</xdr:col>
      <xdr:colOff>19050</xdr:colOff>
      <xdr:row>55</xdr:row>
      <xdr:rowOff>133350</xdr:rowOff>
    </xdr:from>
    <xdr:to>
      <xdr:col>4</xdr:col>
      <xdr:colOff>0</xdr:colOff>
      <xdr:row>56</xdr:row>
      <xdr:rowOff>123825</xdr:rowOff>
    </xdr:to>
    <xdr:pic>
      <xdr:nvPicPr>
        <xdr:cNvPr id="13854" name="Picture 42">
          <a:extLst>
            <a:ext uri="{FF2B5EF4-FFF2-40B4-BE49-F238E27FC236}">
              <a16:creationId xmlns:a16="http://schemas.microsoft.com/office/drawing/2014/main" id="{00000000-0008-0000-0400-00001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3106400"/>
          <a:ext cx="3143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37</xdr:row>
      <xdr:rowOff>95250</xdr:rowOff>
    </xdr:from>
    <xdr:to>
      <xdr:col>3</xdr:col>
      <xdr:colOff>1571625</xdr:colOff>
      <xdr:row>38</xdr:row>
      <xdr:rowOff>85725</xdr:rowOff>
    </xdr:to>
    <xdr:pic>
      <xdr:nvPicPr>
        <xdr:cNvPr id="13855" name="Picture 43">
          <a:extLst>
            <a:ext uri="{FF2B5EF4-FFF2-40B4-BE49-F238E27FC236}">
              <a16:creationId xmlns:a16="http://schemas.microsoft.com/office/drawing/2014/main" id="{00000000-0008-0000-0400-00001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8267700"/>
          <a:ext cx="3143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19</xdr:row>
      <xdr:rowOff>95250</xdr:rowOff>
    </xdr:from>
    <xdr:to>
      <xdr:col>4</xdr:col>
      <xdr:colOff>0</xdr:colOff>
      <xdr:row>20</xdr:row>
      <xdr:rowOff>85725</xdr:rowOff>
    </xdr:to>
    <xdr:pic>
      <xdr:nvPicPr>
        <xdr:cNvPr id="13856" name="Picture 44">
          <a:extLst>
            <a:ext uri="{FF2B5EF4-FFF2-40B4-BE49-F238E27FC236}">
              <a16:creationId xmlns:a16="http://schemas.microsoft.com/office/drawing/2014/main" id="{00000000-0008-0000-0400-00002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962400"/>
          <a:ext cx="3143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40</xdr:row>
      <xdr:rowOff>19050</xdr:rowOff>
    </xdr:from>
    <xdr:to>
      <xdr:col>3</xdr:col>
      <xdr:colOff>1066800</xdr:colOff>
      <xdr:row>42</xdr:row>
      <xdr:rowOff>9525</xdr:rowOff>
    </xdr:to>
    <xdr:pic>
      <xdr:nvPicPr>
        <xdr:cNvPr id="13857" name="Picture 31">
          <a:extLst>
            <a:ext uri="{FF2B5EF4-FFF2-40B4-BE49-F238E27FC236}">
              <a16:creationId xmlns:a16="http://schemas.microsoft.com/office/drawing/2014/main" id="{00000000-0008-0000-0400-00002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01100"/>
          <a:ext cx="7172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619125</xdr:colOff>
      <xdr:row>60</xdr:row>
      <xdr:rowOff>85725</xdr:rowOff>
    </xdr:to>
    <xdr:pic>
      <xdr:nvPicPr>
        <xdr:cNvPr id="13858" name="Picture 32">
          <a:extLst>
            <a:ext uri="{FF2B5EF4-FFF2-40B4-BE49-F238E27FC236}">
              <a16:creationId xmlns:a16="http://schemas.microsoft.com/office/drawing/2014/main" id="{00000000-0008-0000-0400-00002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3782675"/>
          <a:ext cx="6191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628650</xdr:colOff>
      <xdr:row>58</xdr:row>
      <xdr:rowOff>28575</xdr:rowOff>
    </xdr:from>
    <xdr:to>
      <xdr:col>3</xdr:col>
      <xdr:colOff>1095375</xdr:colOff>
      <xdr:row>60</xdr:row>
      <xdr:rowOff>9525</xdr:rowOff>
    </xdr:to>
    <xdr:pic>
      <xdr:nvPicPr>
        <xdr:cNvPr id="13859" name="Picture 33">
          <a:extLst>
            <a:ext uri="{FF2B5EF4-FFF2-40B4-BE49-F238E27FC236}">
              <a16:creationId xmlns:a16="http://schemas.microsoft.com/office/drawing/2014/main" id="{00000000-0008-0000-0400-00002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611225"/>
          <a:ext cx="7181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72</xdr:row>
      <xdr:rowOff>180975</xdr:rowOff>
    </xdr:from>
    <xdr:to>
      <xdr:col>3</xdr:col>
      <xdr:colOff>1171575</xdr:colOff>
      <xdr:row>74</xdr:row>
      <xdr:rowOff>76200</xdr:rowOff>
    </xdr:to>
    <xdr:pic>
      <xdr:nvPicPr>
        <xdr:cNvPr id="13860" name="Picture 41">
          <a:extLst>
            <a:ext uri="{FF2B5EF4-FFF2-40B4-BE49-F238E27FC236}">
              <a16:creationId xmlns:a16="http://schemas.microsoft.com/office/drawing/2014/main" id="{00000000-0008-0000-0400-00002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306925"/>
          <a:ext cx="7172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cqii.glasscubes.com/share/s/lbq69neurq5dustcd7934v7r40?2" TargetMode="External"/><Relationship Id="rId1" Type="http://schemas.openxmlformats.org/officeDocument/2006/relationships/hyperlink" Target="http://enddisparitiesexchange.org/portfolio_item/resource-one/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@CQII.org" TargetMode="External"/><Relationship Id="rId1" Type="http://schemas.openxmlformats.org/officeDocument/2006/relationships/hyperlink" Target="mailto:Michael@NationalQualityCenter.org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N90"/>
  <sheetViews>
    <sheetView showGridLines="0" topLeftCell="A36" zoomScaleNormal="100" zoomScaleSheetLayoutView="115" workbookViewId="0">
      <selection activeCell="A34" sqref="A34"/>
    </sheetView>
  </sheetViews>
  <sheetFormatPr defaultColWidth="9.15234375" defaultRowHeight="14.15" x14ac:dyDescent="0.35"/>
  <cols>
    <col min="1" max="1" width="9.15234375" style="16" customWidth="1"/>
    <col min="2" max="3" width="5" style="16" customWidth="1"/>
    <col min="4" max="7" width="9.15234375" style="16"/>
    <col min="8" max="8" width="10.84375" style="16" customWidth="1"/>
    <col min="9" max="13" width="9.15234375" style="16"/>
    <col min="14" max="14" width="13.53515625" style="16" customWidth="1"/>
    <col min="15" max="16384" width="9.15234375" style="16"/>
  </cols>
  <sheetData>
    <row r="1" spans="2:14" ht="45" customHeight="1" thickBot="1" x14ac:dyDescent="0.4"/>
    <row r="2" spans="2:14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2:14" x14ac:dyDescent="0.3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2:14" ht="15.45" x14ac:dyDescent="0.4">
      <c r="B4" s="24" t="s">
        <v>126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2:14" x14ac:dyDescent="0.35">
      <c r="B5" s="23" t="s">
        <v>29</v>
      </c>
      <c r="C5" s="21" t="s">
        <v>101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2:14" x14ac:dyDescent="0.35">
      <c r="B6" s="23" t="s">
        <v>30</v>
      </c>
      <c r="C6" s="21" t="s">
        <v>127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2:14" x14ac:dyDescent="0.35">
      <c r="B7" s="23" t="s">
        <v>31</v>
      </c>
      <c r="C7" s="21" t="s">
        <v>102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14" x14ac:dyDescent="0.35">
      <c r="B8" s="23" t="s">
        <v>32</v>
      </c>
      <c r="C8" s="21" t="s">
        <v>103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2:14" x14ac:dyDescent="0.35">
      <c r="B9" s="23" t="s">
        <v>33</v>
      </c>
      <c r="C9" s="21" t="s">
        <v>104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2:14" x14ac:dyDescent="0.35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2:14" x14ac:dyDescent="0.3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2:14" ht="15.45" x14ac:dyDescent="0.4">
      <c r="B12" s="24" t="s">
        <v>25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2:14" x14ac:dyDescent="0.35">
      <c r="B13" s="23" t="s">
        <v>29</v>
      </c>
      <c r="C13" s="21" t="s">
        <v>128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2:14" x14ac:dyDescent="0.35">
      <c r="B14" s="23" t="s">
        <v>30</v>
      </c>
      <c r="C14" s="21" t="s">
        <v>129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2:14" x14ac:dyDescent="0.35">
      <c r="B15" s="23" t="s">
        <v>31</v>
      </c>
      <c r="C15" s="21" t="s">
        <v>134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2:14" x14ac:dyDescent="0.35">
      <c r="B16" s="23" t="s">
        <v>32</v>
      </c>
      <c r="C16" s="21" t="s">
        <v>130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x14ac:dyDescent="0.35">
      <c r="B17" s="23" t="s">
        <v>33</v>
      </c>
      <c r="C17" s="21" t="s">
        <v>106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x14ac:dyDescent="0.35">
      <c r="B18" s="23" t="s">
        <v>34</v>
      </c>
      <c r="C18" s="21" t="s">
        <v>105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x14ac:dyDescent="0.35">
      <c r="B19" s="23"/>
      <c r="C19" s="31" t="s">
        <v>35</v>
      </c>
      <c r="D19" s="21" t="s">
        <v>26</v>
      </c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x14ac:dyDescent="0.35">
      <c r="B20" s="23"/>
      <c r="C20" s="31" t="s">
        <v>37</v>
      </c>
      <c r="D20" s="21" t="s">
        <v>27</v>
      </c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14" x14ac:dyDescent="0.35">
      <c r="B21" s="23" t="s">
        <v>79</v>
      </c>
      <c r="C21" s="21" t="s">
        <v>39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x14ac:dyDescent="0.3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ht="15.45" x14ac:dyDescent="0.4">
      <c r="B23" s="24" t="s">
        <v>24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x14ac:dyDescent="0.35">
      <c r="B24" s="25" t="s">
        <v>29</v>
      </c>
      <c r="C24" s="26" t="s">
        <v>44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ht="15.45" x14ac:dyDescent="0.4">
      <c r="A25" s="244"/>
      <c r="B25" s="248"/>
      <c r="C25" s="249" t="s">
        <v>35</v>
      </c>
      <c r="D25" s="290" t="s">
        <v>147</v>
      </c>
      <c r="E25" s="290"/>
      <c r="F25" s="290"/>
      <c r="G25" s="290"/>
      <c r="H25" s="290"/>
      <c r="I25" s="290"/>
      <c r="J25" s="290"/>
      <c r="K25" s="290"/>
      <c r="L25" s="290"/>
      <c r="M25" s="21"/>
      <c r="N25" s="22"/>
    </row>
    <row r="26" spans="1:14" x14ac:dyDescent="0.35">
      <c r="B26" s="25" t="s">
        <v>30</v>
      </c>
      <c r="C26" s="26" t="s">
        <v>28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  <row r="27" spans="1:14" ht="14.6" x14ac:dyDescent="0.4">
      <c r="B27" s="27"/>
      <c r="C27" s="31" t="s">
        <v>35</v>
      </c>
      <c r="D27" s="290" t="s">
        <v>150</v>
      </c>
      <c r="E27" s="290"/>
      <c r="F27" s="290"/>
      <c r="G27" s="21"/>
      <c r="H27" s="21"/>
      <c r="I27" s="21"/>
      <c r="J27" s="21"/>
      <c r="K27" s="21"/>
      <c r="L27" s="21"/>
      <c r="M27" s="21"/>
      <c r="N27" s="22"/>
    </row>
    <row r="28" spans="1:14" x14ac:dyDescent="0.35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ht="14.6" thickBot="1" x14ac:dyDescent="0.4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</row>
    <row r="30" spans="1:14" ht="45" customHeight="1" x14ac:dyDescent="0.35"/>
    <row r="31" spans="1:14" ht="45" customHeight="1" thickBot="1" x14ac:dyDescent="0.4"/>
    <row r="32" spans="1:14" x14ac:dyDescent="0.3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</row>
    <row r="33" spans="2:14" x14ac:dyDescent="0.3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2:14" ht="15.45" x14ac:dyDescent="0.4">
      <c r="B34" s="24" t="s">
        <v>45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</row>
    <row r="35" spans="2:14" x14ac:dyDescent="0.35"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2:14" x14ac:dyDescent="0.35">
      <c r="B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  <row r="37" spans="2:14" x14ac:dyDescent="0.35">
      <c r="B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2:14" x14ac:dyDescent="0.35">
      <c r="B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</row>
    <row r="39" spans="2:14" x14ac:dyDescent="0.35">
      <c r="B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2:14" x14ac:dyDescent="0.3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  <row r="41" spans="2:14" x14ac:dyDescent="0.3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</row>
    <row r="42" spans="2:14" ht="15.45" x14ac:dyDescent="0.4"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2:14" x14ac:dyDescent="0.35">
      <c r="B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2:14" x14ac:dyDescent="0.35">
      <c r="B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2:14" x14ac:dyDescent="0.35">
      <c r="B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</row>
    <row r="46" spans="2:14" x14ac:dyDescent="0.35">
      <c r="B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7" spans="2:14" x14ac:dyDescent="0.35">
      <c r="B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</row>
    <row r="48" spans="2:14" x14ac:dyDescent="0.35">
      <c r="B48" s="23"/>
      <c r="C48" s="57" t="s">
        <v>131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</row>
    <row r="49" spans="2:14" x14ac:dyDescent="0.35">
      <c r="B49" s="23"/>
      <c r="C49" s="57" t="s">
        <v>80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</row>
    <row r="50" spans="2:14" x14ac:dyDescent="0.35">
      <c r="B50" s="23"/>
      <c r="C50" s="57" t="s">
        <v>107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</row>
    <row r="51" spans="2:14" x14ac:dyDescent="0.35">
      <c r="B51" s="23"/>
      <c r="C51" s="21" t="s">
        <v>46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</row>
    <row r="52" spans="2:14" x14ac:dyDescent="0.35">
      <c r="B52" s="23"/>
      <c r="C52" s="21" t="s">
        <v>61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</row>
    <row r="53" spans="2:14" x14ac:dyDescent="0.35">
      <c r="B53" s="20"/>
      <c r="C53" s="159" t="s">
        <v>132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</row>
    <row r="54" spans="2:14" x14ac:dyDescent="0.35">
      <c r="B54" s="20"/>
      <c r="C54" s="26" t="s">
        <v>133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2:14" ht="15.45" x14ac:dyDescent="0.4">
      <c r="B55" s="24"/>
      <c r="C55" s="57" t="s">
        <v>135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6" spans="2:14" x14ac:dyDescent="0.35">
      <c r="B56" s="25"/>
      <c r="C56" s="2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</row>
    <row r="57" spans="2:14" x14ac:dyDescent="0.35">
      <c r="B57" s="25"/>
      <c r="C57" s="57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</row>
    <row r="58" spans="2:14" x14ac:dyDescent="0.3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</row>
    <row r="59" spans="2:14" ht="14.6" thickBot="1" x14ac:dyDescent="0.4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</row>
    <row r="60" spans="2:14" ht="45" customHeight="1" x14ac:dyDescent="0.35"/>
    <row r="61" spans="2:14" ht="45" customHeight="1" thickBot="1" x14ac:dyDescent="0.4"/>
    <row r="62" spans="2:14" x14ac:dyDescent="0.3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2:14" x14ac:dyDescent="0.3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</row>
    <row r="64" spans="2:14" x14ac:dyDescent="0.35">
      <c r="B64" s="20"/>
      <c r="C64" s="159" t="s">
        <v>81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</row>
    <row r="65" spans="2:14" ht="14.6" thickBot="1" x14ac:dyDescent="0.4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2:14" x14ac:dyDescent="0.35">
      <c r="B66" s="20"/>
      <c r="C66" s="21"/>
      <c r="D66" s="271" t="s">
        <v>83</v>
      </c>
      <c r="E66" s="272"/>
      <c r="F66" s="21"/>
      <c r="G66" s="271" t="s">
        <v>108</v>
      </c>
      <c r="H66" s="272"/>
      <c r="I66" s="21"/>
      <c r="J66" s="271" t="s">
        <v>109</v>
      </c>
      <c r="K66" s="277"/>
      <c r="L66" s="278"/>
      <c r="M66" s="21"/>
      <c r="N66" s="22"/>
    </row>
    <row r="67" spans="2:14" x14ac:dyDescent="0.35">
      <c r="B67" s="20"/>
      <c r="C67" s="21"/>
      <c r="D67" s="273"/>
      <c r="E67" s="274"/>
      <c r="F67" s="21"/>
      <c r="G67" s="273"/>
      <c r="H67" s="274"/>
      <c r="I67" s="21"/>
      <c r="J67" s="273"/>
      <c r="K67" s="279"/>
      <c r="L67" s="280"/>
      <c r="M67" s="21"/>
      <c r="N67" s="22"/>
    </row>
    <row r="68" spans="2:14" x14ac:dyDescent="0.35">
      <c r="B68" s="20"/>
      <c r="C68" s="21"/>
      <c r="D68" s="273"/>
      <c r="E68" s="274"/>
      <c r="F68" s="21"/>
      <c r="G68" s="273"/>
      <c r="H68" s="274"/>
      <c r="I68" s="21"/>
      <c r="J68" s="273"/>
      <c r="K68" s="279"/>
      <c r="L68" s="280"/>
      <c r="M68" s="21"/>
      <c r="N68" s="22"/>
    </row>
    <row r="69" spans="2:14" ht="14.6" thickBot="1" x14ac:dyDescent="0.4">
      <c r="B69" s="20"/>
      <c r="C69" s="21"/>
      <c r="D69" s="275"/>
      <c r="E69" s="276"/>
      <c r="F69" s="21"/>
      <c r="G69" s="275"/>
      <c r="H69" s="276"/>
      <c r="I69" s="21"/>
      <c r="J69" s="281"/>
      <c r="K69" s="282"/>
      <c r="L69" s="283"/>
      <c r="M69" s="21"/>
      <c r="N69" s="22"/>
    </row>
    <row r="70" spans="2:14" ht="14.6" thickBot="1" x14ac:dyDescent="0.4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2:14" x14ac:dyDescent="0.35">
      <c r="B71" s="20"/>
      <c r="C71" s="21"/>
      <c r="D71" s="271" t="s">
        <v>136</v>
      </c>
      <c r="E71" s="272"/>
      <c r="F71" s="21"/>
      <c r="G71" s="271" t="s">
        <v>112</v>
      </c>
      <c r="H71" s="272"/>
      <c r="I71" s="21"/>
      <c r="J71" s="271" t="s">
        <v>110</v>
      </c>
      <c r="K71" s="277"/>
      <c r="L71" s="272"/>
      <c r="M71" s="21"/>
      <c r="N71" s="22"/>
    </row>
    <row r="72" spans="2:14" x14ac:dyDescent="0.35">
      <c r="B72" s="20"/>
      <c r="C72" s="21"/>
      <c r="D72" s="273"/>
      <c r="E72" s="274"/>
      <c r="F72" s="21"/>
      <c r="G72" s="273"/>
      <c r="H72" s="274"/>
      <c r="I72" s="21"/>
      <c r="J72" s="273"/>
      <c r="K72" s="291"/>
      <c r="L72" s="274"/>
      <c r="M72" s="21"/>
      <c r="N72" s="22"/>
    </row>
    <row r="73" spans="2:14" x14ac:dyDescent="0.35">
      <c r="B73" s="20"/>
      <c r="C73" s="21"/>
      <c r="D73" s="273"/>
      <c r="E73" s="274"/>
      <c r="F73" s="21"/>
      <c r="G73" s="273"/>
      <c r="H73" s="274"/>
      <c r="I73" s="21"/>
      <c r="J73" s="273"/>
      <c r="K73" s="291"/>
      <c r="L73" s="274"/>
      <c r="M73" s="21"/>
      <c r="N73" s="22"/>
    </row>
    <row r="74" spans="2:14" ht="14.6" thickBot="1" x14ac:dyDescent="0.4">
      <c r="B74" s="20"/>
      <c r="C74" s="21"/>
      <c r="D74" s="292"/>
      <c r="E74" s="294"/>
      <c r="F74" s="21"/>
      <c r="G74" s="292"/>
      <c r="H74" s="294"/>
      <c r="I74" s="21"/>
      <c r="J74" s="292"/>
      <c r="K74" s="293"/>
      <c r="L74" s="294"/>
      <c r="M74" s="21"/>
      <c r="N74" s="22"/>
    </row>
    <row r="75" spans="2:14" x14ac:dyDescent="0.35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2:14" x14ac:dyDescent="0.35">
      <c r="B76" s="20"/>
      <c r="C76" s="159" t="s">
        <v>82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2:14" ht="14.6" thickBot="1" x14ac:dyDescent="0.4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2:14" ht="15" customHeight="1" x14ac:dyDescent="0.35">
      <c r="B78" s="20"/>
      <c r="C78" s="21"/>
      <c r="D78" s="262" t="s">
        <v>84</v>
      </c>
      <c r="E78" s="263"/>
      <c r="F78" s="264"/>
      <c r="G78" s="21"/>
      <c r="H78" s="262" t="s">
        <v>111</v>
      </c>
      <c r="I78" s="264"/>
      <c r="J78" s="160"/>
      <c r="K78" s="262" t="s">
        <v>113</v>
      </c>
      <c r="L78" s="284"/>
      <c r="M78" s="285"/>
      <c r="N78" s="22"/>
    </row>
    <row r="79" spans="2:14" ht="14.6" x14ac:dyDescent="0.35">
      <c r="B79" s="20"/>
      <c r="C79" s="21"/>
      <c r="D79" s="265"/>
      <c r="E79" s="266"/>
      <c r="F79" s="267"/>
      <c r="G79" s="21"/>
      <c r="H79" s="265"/>
      <c r="I79" s="267"/>
      <c r="J79" s="160"/>
      <c r="K79" s="286"/>
      <c r="L79" s="287"/>
      <c r="M79" s="288"/>
      <c r="N79" s="22"/>
    </row>
    <row r="80" spans="2:14" ht="14.6" x14ac:dyDescent="0.35">
      <c r="B80" s="20"/>
      <c r="C80" s="21"/>
      <c r="D80" s="265"/>
      <c r="E80" s="266"/>
      <c r="F80" s="267"/>
      <c r="G80" s="21"/>
      <c r="H80" s="265"/>
      <c r="I80" s="267"/>
      <c r="J80" s="160"/>
      <c r="K80" s="286"/>
      <c r="L80" s="287"/>
      <c r="M80" s="288"/>
      <c r="N80" s="22"/>
    </row>
    <row r="81" spans="2:14" ht="15" thickBot="1" x14ac:dyDescent="0.4">
      <c r="B81" s="20"/>
      <c r="C81" s="21"/>
      <c r="D81" s="268"/>
      <c r="E81" s="269"/>
      <c r="F81" s="270"/>
      <c r="G81" s="21"/>
      <c r="H81" s="268"/>
      <c r="I81" s="270"/>
      <c r="J81" s="160"/>
      <c r="K81" s="275"/>
      <c r="L81" s="289"/>
      <c r="M81" s="276"/>
      <c r="N81" s="22"/>
    </row>
    <row r="82" spans="2:14" ht="14.6" thickBot="1" x14ac:dyDescent="0.4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2:14" x14ac:dyDescent="0.35">
      <c r="B83" s="20"/>
      <c r="C83" s="21"/>
      <c r="D83" s="262" t="s">
        <v>137</v>
      </c>
      <c r="E83" s="263"/>
      <c r="F83" s="264"/>
      <c r="G83" s="21"/>
      <c r="H83" s="262" t="s">
        <v>114</v>
      </c>
      <c r="I83" s="263"/>
      <c r="J83" s="264"/>
      <c r="K83" s="21"/>
      <c r="L83" s="262" t="s">
        <v>85</v>
      </c>
      <c r="M83" s="264"/>
      <c r="N83" s="22"/>
    </row>
    <row r="84" spans="2:14" x14ac:dyDescent="0.35">
      <c r="B84" s="20"/>
      <c r="C84" s="21"/>
      <c r="D84" s="265"/>
      <c r="E84" s="266"/>
      <c r="F84" s="267"/>
      <c r="G84" s="21"/>
      <c r="H84" s="265"/>
      <c r="I84" s="266"/>
      <c r="J84" s="267"/>
      <c r="K84" s="21"/>
      <c r="L84" s="265"/>
      <c r="M84" s="267"/>
      <c r="N84" s="22"/>
    </row>
    <row r="85" spans="2:14" x14ac:dyDescent="0.35">
      <c r="B85" s="20"/>
      <c r="C85" s="21"/>
      <c r="D85" s="265"/>
      <c r="E85" s="266"/>
      <c r="F85" s="267"/>
      <c r="G85" s="21"/>
      <c r="H85" s="265"/>
      <c r="I85" s="266"/>
      <c r="J85" s="267"/>
      <c r="K85" s="21"/>
      <c r="L85" s="265"/>
      <c r="M85" s="267"/>
      <c r="N85" s="22"/>
    </row>
    <row r="86" spans="2:14" ht="14.6" thickBot="1" x14ac:dyDescent="0.4">
      <c r="B86" s="20"/>
      <c r="C86" s="21"/>
      <c r="D86" s="268"/>
      <c r="E86" s="269"/>
      <c r="F86" s="270"/>
      <c r="G86" s="21"/>
      <c r="H86" s="268"/>
      <c r="I86" s="269"/>
      <c r="J86" s="270"/>
      <c r="K86" s="21"/>
      <c r="L86" s="268"/>
      <c r="M86" s="270"/>
      <c r="N86" s="22"/>
    </row>
    <row r="87" spans="2:14" x14ac:dyDescent="0.35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2"/>
    </row>
    <row r="88" spans="2:14" x14ac:dyDescent="0.35"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</row>
    <row r="89" spans="2:14" ht="14.6" thickBot="1" x14ac:dyDescent="0.4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0"/>
    </row>
    <row r="90" spans="2:14" ht="45" customHeight="1" x14ac:dyDescent="0.35"/>
  </sheetData>
  <sheetProtection selectLockedCells="1" selectUnlockedCells="1"/>
  <mergeCells count="14">
    <mergeCell ref="D25:L25"/>
    <mergeCell ref="D27:F27"/>
    <mergeCell ref="J71:L74"/>
    <mergeCell ref="G71:H74"/>
    <mergeCell ref="D71:E74"/>
    <mergeCell ref="D78:F81"/>
    <mergeCell ref="D66:E69"/>
    <mergeCell ref="G66:H69"/>
    <mergeCell ref="J66:L69"/>
    <mergeCell ref="L83:M86"/>
    <mergeCell ref="H83:J86"/>
    <mergeCell ref="D83:F86"/>
    <mergeCell ref="H78:I81"/>
    <mergeCell ref="K78:M81"/>
  </mergeCells>
  <pageMargins left="0.2" right="0.2" top="0.75" bottom="0.75" header="0.3" footer="0.3"/>
  <pageSetup orientation="landscape" r:id="rId1"/>
  <headerFooter>
    <oddHeader>&amp;L&amp;"-,Bold"&amp;12NQC Qualifying Disparities in HIV Care
&amp;"-,Italic"Instructions&amp;C&amp;G&amp;R&amp;G</oddHeader>
    <oddFooter>&amp;L&amp;"-,Bold"&amp;E&amp;KFF0000http://enddisparitiesexchange.org/portfolio_item/resource-one/&amp;RCalculator Developed by Naomi Savitz, MPH New Solutions Inc. 
and Adapted by Michael Hager, MPH, MA NQC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A1:P34"/>
  <sheetViews>
    <sheetView showGridLines="0" zoomScaleNormal="100" workbookViewId="0">
      <selection activeCell="D27" sqref="D27"/>
    </sheetView>
  </sheetViews>
  <sheetFormatPr defaultColWidth="9.15234375" defaultRowHeight="14.6" x14ac:dyDescent="0.4"/>
  <cols>
    <col min="1" max="1" width="9.15234375" style="33"/>
    <col min="2" max="3" width="5" style="33" customWidth="1"/>
    <col min="4" max="4" width="15.84375" style="33" customWidth="1"/>
    <col min="5" max="16384" width="9.15234375" style="33"/>
  </cols>
  <sheetData>
    <row r="1" spans="1:15" ht="45" customHeight="1" thickBot="1" x14ac:dyDescent="0.4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4">
      <c r="A2" s="32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2"/>
    </row>
    <row r="3" spans="1:15" x14ac:dyDescent="0.4">
      <c r="A3" s="32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2"/>
    </row>
    <row r="4" spans="1:15" ht="15.45" x14ac:dyDescent="0.4">
      <c r="A4" s="32"/>
      <c r="B4" s="40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2"/>
    </row>
    <row r="5" spans="1:15" x14ac:dyDescent="0.4">
      <c r="A5" s="32"/>
      <c r="B5" s="41" t="s">
        <v>29</v>
      </c>
      <c r="C5" s="38" t="s">
        <v>138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2"/>
    </row>
    <row r="6" spans="1:15" x14ac:dyDescent="0.4">
      <c r="A6" s="32"/>
      <c r="B6" s="41" t="s">
        <v>30</v>
      </c>
      <c r="C6" s="38" t="s">
        <v>38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2"/>
    </row>
    <row r="7" spans="1:15" x14ac:dyDescent="0.4">
      <c r="A7" s="32"/>
      <c r="B7" s="41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2"/>
    </row>
    <row r="8" spans="1:15" ht="15.45" x14ac:dyDescent="0.4">
      <c r="A8" s="32"/>
      <c r="B8" s="40" t="s">
        <v>41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2"/>
    </row>
    <row r="9" spans="1:15" x14ac:dyDescent="0.4">
      <c r="A9" s="32"/>
      <c r="B9" s="41" t="s">
        <v>29</v>
      </c>
      <c r="C9" s="38" t="s">
        <v>118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2"/>
    </row>
    <row r="10" spans="1:15" x14ac:dyDescent="0.4">
      <c r="A10" s="32"/>
      <c r="B10" s="41"/>
      <c r="C10" s="42" t="s">
        <v>35</v>
      </c>
      <c r="D10" s="38" t="s">
        <v>117</v>
      </c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2"/>
    </row>
    <row r="11" spans="1:15" x14ac:dyDescent="0.4">
      <c r="A11" s="32"/>
      <c r="B11" s="41"/>
      <c r="C11" s="42" t="s">
        <v>37</v>
      </c>
      <c r="D11" s="38" t="s">
        <v>139</v>
      </c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2"/>
    </row>
    <row r="12" spans="1:15" x14ac:dyDescent="0.4">
      <c r="A12" s="32"/>
      <c r="B12" s="41" t="s">
        <v>30</v>
      </c>
      <c r="C12" s="151" t="s">
        <v>64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32"/>
    </row>
    <row r="13" spans="1:15" x14ac:dyDescent="0.4">
      <c r="A13" s="32"/>
      <c r="B13" s="41"/>
      <c r="C13" s="42" t="s">
        <v>35</v>
      </c>
      <c r="D13" s="38" t="s">
        <v>140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32"/>
    </row>
    <row r="14" spans="1:15" x14ac:dyDescent="0.4">
      <c r="A14" s="32"/>
      <c r="B14" s="41"/>
      <c r="C14" s="42" t="s">
        <v>37</v>
      </c>
      <c r="D14" s="38" t="s">
        <v>70</v>
      </c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2"/>
    </row>
    <row r="15" spans="1:15" x14ac:dyDescent="0.4">
      <c r="A15" s="32"/>
      <c r="B15" s="41" t="s">
        <v>31</v>
      </c>
      <c r="C15" s="38" t="s">
        <v>78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2"/>
    </row>
    <row r="16" spans="1:15" x14ac:dyDescent="0.4">
      <c r="A16" s="32"/>
      <c r="B16" s="41"/>
      <c r="C16" s="42" t="s">
        <v>35</v>
      </c>
      <c r="D16" s="38" t="s">
        <v>76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2"/>
    </row>
    <row r="17" spans="1:16" x14ac:dyDescent="0.4">
      <c r="A17" s="32"/>
      <c r="B17" s="41"/>
      <c r="C17" s="42" t="s">
        <v>37</v>
      </c>
      <c r="D17" s="38" t="s">
        <v>77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2"/>
    </row>
    <row r="18" spans="1:16" x14ac:dyDescent="0.4">
      <c r="A18" s="32"/>
      <c r="B18" s="4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32"/>
    </row>
    <row r="19" spans="1:16" ht="15.45" x14ac:dyDescent="0.4">
      <c r="A19" s="32"/>
      <c r="B19" s="40" t="s">
        <v>40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32"/>
    </row>
    <row r="20" spans="1:16" x14ac:dyDescent="0.4">
      <c r="A20" s="32"/>
      <c r="B20" s="41" t="s">
        <v>29</v>
      </c>
      <c r="C20" s="38" t="s">
        <v>42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2"/>
    </row>
    <row r="21" spans="1:16" x14ac:dyDescent="0.4">
      <c r="A21" s="32"/>
      <c r="B21" s="41" t="s">
        <v>30</v>
      </c>
      <c r="C21" s="38" t="s">
        <v>63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2"/>
    </row>
    <row r="22" spans="1:16" x14ac:dyDescent="0.4">
      <c r="A22" s="32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2"/>
    </row>
    <row r="23" spans="1:16" ht="15.45" x14ac:dyDescent="0.4">
      <c r="A23" s="32"/>
      <c r="B23" s="40" t="s">
        <v>24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2"/>
    </row>
    <row r="24" spans="1:16" x14ac:dyDescent="0.4">
      <c r="A24" s="32"/>
      <c r="B24" s="43" t="s">
        <v>29</v>
      </c>
      <c r="C24" s="44" t="s">
        <v>62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2"/>
    </row>
    <row r="25" spans="1:16" ht="15.45" x14ac:dyDescent="0.4">
      <c r="A25" s="245"/>
      <c r="B25" s="248"/>
      <c r="C25" s="249" t="s">
        <v>35</v>
      </c>
      <c r="D25" s="290" t="s">
        <v>147</v>
      </c>
      <c r="E25" s="290"/>
      <c r="F25" s="290"/>
      <c r="G25" s="290"/>
      <c r="H25" s="290"/>
      <c r="I25" s="290"/>
      <c r="J25" s="290"/>
      <c r="K25" s="290"/>
      <c r="L25" s="290"/>
      <c r="M25" s="38"/>
      <c r="N25" s="39"/>
      <c r="O25" s="245"/>
      <c r="P25" s="246"/>
    </row>
    <row r="26" spans="1:16" x14ac:dyDescent="0.4">
      <c r="A26" s="32"/>
      <c r="B26" s="43" t="s">
        <v>30</v>
      </c>
      <c r="C26" s="44" t="s">
        <v>28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2"/>
    </row>
    <row r="27" spans="1:16" ht="15.45" x14ac:dyDescent="0.4">
      <c r="A27" s="32"/>
      <c r="B27" s="45"/>
      <c r="C27" s="250" t="s">
        <v>35</v>
      </c>
      <c r="D27" s="261" t="s">
        <v>150</v>
      </c>
      <c r="E27" s="251"/>
      <c r="F27" s="251"/>
      <c r="G27" s="251"/>
      <c r="H27" s="251"/>
      <c r="I27" s="38"/>
      <c r="J27" s="38"/>
      <c r="K27" s="38"/>
      <c r="L27" s="38"/>
      <c r="M27" s="38"/>
      <c r="N27" s="39"/>
      <c r="O27" s="32"/>
    </row>
    <row r="28" spans="1:16" x14ac:dyDescent="0.4">
      <c r="A28" s="32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32"/>
    </row>
    <row r="29" spans="1:16" ht="15" thickBot="1" x14ac:dyDescent="0.45">
      <c r="A29" s="32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32"/>
    </row>
    <row r="30" spans="1:16" ht="45" customHeight="1" x14ac:dyDescent="0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2" spans="1:16" x14ac:dyDescent="0.4">
      <c r="A32" s="152"/>
    </row>
    <row r="34" spans="1:1" x14ac:dyDescent="0.4">
      <c r="A34" s="152"/>
    </row>
  </sheetData>
  <sheetProtection selectLockedCells="1"/>
  <mergeCells count="1">
    <mergeCell ref="D25:L25"/>
  </mergeCells>
  <pageMargins left="0.15" right="0.15" top="0.75" bottom="0.75" header="0.3" footer="0.3"/>
  <pageSetup orientation="landscape" r:id="rId1"/>
  <headerFooter>
    <oddHeader>&amp;L&amp;"-,Bold"&amp;12NQC Qualifying Disparities in HIV Care
&amp;"-,Italic"Basic Statistics&amp;C&amp;G&amp;R&amp;G</oddHeader>
    <oddFooter>&amp;L&amp;"-,Bold"&amp;E&amp;KFF0000http://enddisparitiesexchange.org/portfolio_item/resource-one/&amp;RCalculator Developed by Naomi Savitz, MPH New Solutions Inc. 
and Adapted by Michael Hager, MPH, MA NQC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1:K40"/>
  <sheetViews>
    <sheetView showGridLines="0" topLeftCell="A2" zoomScale="86" zoomScaleNormal="86" zoomScaleSheetLayoutView="85" workbookViewId="0">
      <selection activeCell="F13" sqref="F13"/>
    </sheetView>
  </sheetViews>
  <sheetFormatPr defaultColWidth="9.15234375" defaultRowHeight="12.45" x14ac:dyDescent="0.4"/>
  <cols>
    <col min="1" max="1" width="62.53515625" style="1" customWidth="1"/>
    <col min="2" max="2" width="13.15234375" style="1" customWidth="1"/>
    <col min="3" max="5" width="11.15234375" style="1" customWidth="1"/>
    <col min="6" max="6" width="60.53515625" style="1" customWidth="1"/>
    <col min="7" max="7" width="18.53515625" style="1" customWidth="1"/>
    <col min="8" max="10" width="9.15234375" style="1"/>
    <col min="11" max="11" width="50.84375" style="1" customWidth="1"/>
    <col min="12" max="16384" width="9.15234375" style="1"/>
  </cols>
  <sheetData>
    <row r="1" spans="1:11" ht="19.5" customHeight="1" thickTop="1" thickBot="1" x14ac:dyDescent="0.45">
      <c r="A1" s="4" t="s">
        <v>121</v>
      </c>
      <c r="B1" s="5"/>
      <c r="C1" s="6"/>
      <c r="D1" s="295" t="s">
        <v>124</v>
      </c>
      <c r="E1" s="296"/>
      <c r="F1" s="297"/>
      <c r="G1" s="2"/>
      <c r="H1" s="2"/>
      <c r="I1" s="2"/>
      <c r="J1" s="2"/>
      <c r="K1" s="2"/>
    </row>
    <row r="2" spans="1:11" ht="19.5" customHeight="1" thickTop="1" thickBot="1" x14ac:dyDescent="0.45">
      <c r="A2" s="4" t="s">
        <v>122</v>
      </c>
      <c r="B2" s="7"/>
      <c r="C2" s="7"/>
      <c r="D2" s="298"/>
      <c r="E2" s="298"/>
      <c r="F2" s="299"/>
      <c r="G2" s="2"/>
      <c r="H2" s="2"/>
      <c r="I2" s="2"/>
      <c r="J2" s="2"/>
      <c r="K2" s="2"/>
    </row>
    <row r="3" spans="1:11" ht="19.5" customHeight="1" thickTop="1" thickBot="1" x14ac:dyDescent="0.45">
      <c r="A3" s="4" t="s">
        <v>152</v>
      </c>
      <c r="B3" s="7"/>
      <c r="C3" s="7"/>
      <c r="D3" s="298"/>
      <c r="E3" s="298"/>
      <c r="F3" s="299"/>
      <c r="G3" s="2"/>
      <c r="H3" s="2"/>
      <c r="I3" s="2"/>
      <c r="J3" s="2"/>
      <c r="K3" s="2"/>
    </row>
    <row r="4" spans="1:11" ht="19.5" customHeight="1" thickTop="1" thickBot="1" x14ac:dyDescent="0.45">
      <c r="A4" s="8" t="s">
        <v>151</v>
      </c>
      <c r="B4" s="7"/>
      <c r="C4" s="7"/>
      <c r="D4" s="298"/>
      <c r="E4" s="298"/>
      <c r="F4" s="299"/>
      <c r="G4" s="2"/>
      <c r="H4" s="2"/>
      <c r="I4" s="2"/>
      <c r="J4" s="2"/>
      <c r="K4" s="2"/>
    </row>
    <row r="5" spans="1:11" ht="19.5" customHeight="1" thickTop="1" thickBot="1" x14ac:dyDescent="0.45">
      <c r="A5" s="4" t="s">
        <v>120</v>
      </c>
      <c r="B5" s="7"/>
      <c r="C5" s="7"/>
      <c r="D5" s="300"/>
      <c r="E5" s="300"/>
      <c r="F5" s="301"/>
      <c r="G5" s="2"/>
      <c r="H5" s="2"/>
      <c r="I5" s="2"/>
      <c r="J5" s="2"/>
      <c r="K5" s="2"/>
    </row>
    <row r="6" spans="1:11" ht="48" customHeight="1" thickTop="1" x14ac:dyDescent="0.4">
      <c r="A6" s="302" t="s">
        <v>14</v>
      </c>
      <c r="B6" s="304" t="s">
        <v>21</v>
      </c>
      <c r="C6" s="306" t="s">
        <v>123</v>
      </c>
      <c r="D6" s="307"/>
      <c r="E6" s="308"/>
      <c r="F6" s="49" t="s">
        <v>0</v>
      </c>
    </row>
    <row r="7" spans="1:11" ht="19.5" customHeight="1" thickBot="1" x14ac:dyDescent="0.45">
      <c r="A7" s="303"/>
      <c r="B7" s="305"/>
      <c r="C7" s="54" t="s">
        <v>1</v>
      </c>
      <c r="D7" s="55" t="s">
        <v>2</v>
      </c>
      <c r="E7" s="56" t="s">
        <v>3</v>
      </c>
      <c r="F7" s="59"/>
    </row>
    <row r="8" spans="1:11" ht="33.75" customHeight="1" thickTop="1" thickBot="1" x14ac:dyDescent="0.45">
      <c r="A8" s="53" t="s">
        <v>4</v>
      </c>
      <c r="B8" s="58">
        <v>1</v>
      </c>
      <c r="C8" s="9">
        <v>1589</v>
      </c>
      <c r="D8" s="10">
        <v>2157</v>
      </c>
      <c r="E8" s="11">
        <f>C8/D8</f>
        <v>0.73667130273528048</v>
      </c>
      <c r="F8" s="240" t="s">
        <v>18</v>
      </c>
    </row>
    <row r="9" spans="1:11" ht="19.5" customHeight="1" thickTop="1" thickBot="1" x14ac:dyDescent="0.45">
      <c r="A9" s="237" t="s">
        <v>154</v>
      </c>
      <c r="B9" s="50">
        <f>B8</f>
        <v>1</v>
      </c>
      <c r="C9" s="12">
        <v>47</v>
      </c>
      <c r="D9" s="12">
        <v>52</v>
      </c>
      <c r="E9" s="13">
        <f>C9/D9</f>
        <v>0.90384615384615385</v>
      </c>
      <c r="F9" s="241" t="s">
        <v>18</v>
      </c>
    </row>
    <row r="10" spans="1:11" ht="19.5" customHeight="1" thickTop="1" thickBot="1" x14ac:dyDescent="0.45">
      <c r="A10" s="238" t="s">
        <v>155</v>
      </c>
      <c r="B10" s="51">
        <f>B8</f>
        <v>1</v>
      </c>
      <c r="C10" s="12">
        <v>357</v>
      </c>
      <c r="D10" s="12">
        <v>526</v>
      </c>
      <c r="E10" s="14">
        <f>C10/D10</f>
        <v>0.67870722433460073</v>
      </c>
      <c r="F10" s="241" t="s">
        <v>18</v>
      </c>
    </row>
    <row r="11" spans="1:11" ht="19.5" customHeight="1" thickTop="1" thickBot="1" x14ac:dyDescent="0.45">
      <c r="A11" s="238" t="s">
        <v>156</v>
      </c>
      <c r="B11" s="51">
        <f>B8</f>
        <v>1</v>
      </c>
      <c r="C11" s="12">
        <v>653</v>
      </c>
      <c r="D11" s="12">
        <v>789</v>
      </c>
      <c r="E11" s="14">
        <f>C11/D11</f>
        <v>0.82762991128010144</v>
      </c>
      <c r="F11" s="241" t="s">
        <v>18</v>
      </c>
    </row>
    <row r="12" spans="1:11" ht="19.5" customHeight="1" thickTop="1" thickBot="1" x14ac:dyDescent="0.45">
      <c r="A12" s="239" t="s">
        <v>153</v>
      </c>
      <c r="B12" s="52">
        <f>B8</f>
        <v>1</v>
      </c>
      <c r="C12" s="12">
        <v>57</v>
      </c>
      <c r="D12" s="12">
        <v>110</v>
      </c>
      <c r="E12" s="15">
        <f>C12/D12</f>
        <v>0.51818181818181819</v>
      </c>
      <c r="F12" s="241" t="s">
        <v>18</v>
      </c>
    </row>
    <row r="13" spans="1:11" ht="19.5" customHeight="1" x14ac:dyDescent="0.4">
      <c r="A13" s="3"/>
      <c r="B13" s="3"/>
      <c r="C13" s="3"/>
      <c r="D13" s="3"/>
      <c r="E13" s="3"/>
      <c r="F13" s="3"/>
    </row>
    <row r="14" spans="1:11" ht="19.5" customHeight="1" x14ac:dyDescent="0.4">
      <c r="A14" s="156" t="s">
        <v>141</v>
      </c>
      <c r="B14" s="3"/>
      <c r="C14" s="3"/>
      <c r="D14" s="3"/>
      <c r="E14" s="3"/>
      <c r="F14" s="3"/>
    </row>
    <row r="15" spans="1:11" ht="19.5" customHeight="1" x14ac:dyDescent="0.4">
      <c r="A15" s="157" t="s">
        <v>60</v>
      </c>
    </row>
    <row r="16" spans="1:11" ht="19.5" customHeight="1" x14ac:dyDescent="0.4">
      <c r="A16" s="309" t="s">
        <v>148</v>
      </c>
      <c r="B16" s="309"/>
      <c r="C16" s="309"/>
      <c r="D16" s="309"/>
      <c r="E16" s="309"/>
      <c r="F16" s="309"/>
      <c r="G16" s="247"/>
    </row>
    <row r="17" spans="1:11" ht="19.5" customHeight="1" x14ac:dyDescent="0.4">
      <c r="A17" s="242"/>
    </row>
    <row r="18" spans="1:11" ht="19.5" customHeight="1" x14ac:dyDescent="0.4">
      <c r="A18" s="157"/>
    </row>
    <row r="19" spans="1:11" ht="19.5" customHeight="1" x14ac:dyDescent="0.4">
      <c r="A19" s="158" t="s">
        <v>72</v>
      </c>
    </row>
    <row r="20" spans="1:11" ht="19.5" customHeight="1" x14ac:dyDescent="0.4">
      <c r="A20" s="158"/>
    </row>
    <row r="21" spans="1:11" ht="19.5" customHeight="1" x14ac:dyDescent="0.4">
      <c r="A21" s="156" t="s">
        <v>125</v>
      </c>
    </row>
    <row r="22" spans="1:11" ht="19.5" customHeight="1" x14ac:dyDescent="0.4">
      <c r="A22" s="157" t="s">
        <v>19</v>
      </c>
      <c r="G22" s="243"/>
      <c r="I22" s="252"/>
      <c r="J22" s="252"/>
      <c r="K22" s="3"/>
    </row>
    <row r="23" spans="1:11" ht="19.5" customHeight="1" x14ac:dyDescent="0.4">
      <c r="A23" s="157" t="s">
        <v>20</v>
      </c>
      <c r="G23" s="252"/>
      <c r="I23" s="252"/>
      <c r="J23" s="252"/>
    </row>
    <row r="24" spans="1:11" ht="19.5" customHeight="1" x14ac:dyDescent="0.4">
      <c r="G24" s="252"/>
      <c r="I24" s="252"/>
      <c r="J24" s="252"/>
    </row>
    <row r="25" spans="1:11" ht="19.5" customHeight="1" x14ac:dyDescent="0.4">
      <c r="G25" s="252"/>
      <c r="I25" s="252"/>
      <c r="J25" s="252"/>
    </row>
    <row r="26" spans="1:11" ht="19.5" customHeight="1" x14ac:dyDescent="0.4">
      <c r="G26" s="252"/>
      <c r="I26" s="252"/>
      <c r="J26" s="252"/>
    </row>
    <row r="27" spans="1:11" ht="19.5" customHeight="1" x14ac:dyDescent="0.4">
      <c r="G27" s="252"/>
      <c r="I27" s="252"/>
      <c r="J27" s="252"/>
    </row>
    <row r="28" spans="1:11" ht="19.5" customHeight="1" x14ac:dyDescent="0.4">
      <c r="G28" s="252"/>
      <c r="H28" s="252"/>
      <c r="I28" s="247"/>
      <c r="J28" s="247"/>
    </row>
    <row r="29" spans="1:11" ht="19.5" customHeight="1" x14ac:dyDescent="0.4">
      <c r="E29" s="252"/>
      <c r="F29" s="252"/>
      <c r="G29" s="252"/>
      <c r="H29" s="252"/>
      <c r="I29" s="247"/>
      <c r="J29" s="247"/>
    </row>
    <row r="30" spans="1:11" ht="19.5" customHeight="1" x14ac:dyDescent="0.4">
      <c r="E30" s="247"/>
      <c r="F30" s="252"/>
      <c r="G30" s="252"/>
      <c r="H30" s="252"/>
      <c r="I30" s="252"/>
      <c r="J30" s="252"/>
    </row>
    <row r="31" spans="1:11" ht="19.5" customHeight="1" x14ac:dyDescent="0.4">
      <c r="E31" s="247"/>
      <c r="F31" s="247"/>
      <c r="G31" s="247"/>
      <c r="H31" s="247"/>
      <c r="I31" s="247"/>
      <c r="J31" s="247"/>
    </row>
    <row r="32" spans="1:11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</sheetData>
  <sheetProtection selectLockedCells="1"/>
  <mergeCells count="5">
    <mergeCell ref="D1:F5"/>
    <mergeCell ref="A6:A7"/>
    <mergeCell ref="B6:B7"/>
    <mergeCell ref="C6:E6"/>
    <mergeCell ref="A16:F16"/>
  </mergeCells>
  <hyperlinks>
    <hyperlink ref="A16" r:id="rId1" display="          For more information on the disparities analysis resources, visit http://enddisparitiesexchange.org/portfolio_item/resource-one/." xr:uid="{00000000-0004-0000-0200-000000000000}"/>
    <hyperlink ref="A16:F16" r:id="rId2" display="          For information on the disparities analysis resources, visit https://cqii.glasscubes.com/share/s/lbq69neurq5dustcd7934v7r40?2" xr:uid="{00000000-0004-0000-0200-000001000000}"/>
  </hyperlinks>
  <printOptions horizontalCentered="1"/>
  <pageMargins left="0" right="0" top="1" bottom="1" header="0.3" footer="0.3"/>
  <pageSetup scale="71" orientation="landscape" r:id="rId3"/>
  <headerFooter>
    <oddHeader>&amp;L&amp;"-,Bold"&amp;12NQC Qualifying Disparities in HIV Care
&amp;"-,Italic"Disparities Calculator Data Entry&amp;C&amp;G&amp;R&amp;G</oddHeader>
    <oddFooter>&amp;L&amp;"-,Bold"&amp;E&amp;KFF0000http://enddisparitiesexchange.org/portfolio_item/resource-one/&amp;RCalculator Developed by Naomi Savitz, MPH New Solutions Inc. 
and Adapted by Michael Hager, MPH, MA NQC</oddFooter>
  </headerFooter>
  <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G35"/>
  <sheetViews>
    <sheetView showGridLines="0" tabSelected="1" zoomScale="86" zoomScaleNormal="86" zoomScaleSheetLayoutView="100" workbookViewId="0">
      <selection activeCell="C15" sqref="C15"/>
    </sheetView>
  </sheetViews>
  <sheetFormatPr defaultColWidth="9.15234375" defaultRowHeight="15" x14ac:dyDescent="0.35"/>
  <cols>
    <col min="1" max="1" width="27.3828125" style="209" customWidth="1"/>
    <col min="2" max="5" width="23.69140625" style="209" customWidth="1"/>
    <col min="6" max="6" width="23.15234375" style="209" bestFit="1" customWidth="1"/>
    <col min="7" max="7" width="20.69140625" style="210" bestFit="1" customWidth="1"/>
    <col min="8" max="8" width="16.69140625" style="209" bestFit="1" customWidth="1"/>
    <col min="9" max="16384" width="9.15234375" style="209"/>
  </cols>
  <sheetData>
    <row r="1" spans="1:7" ht="19.5" customHeight="1" thickBot="1" x14ac:dyDescent="0.5">
      <c r="A1" s="310" t="str">
        <f>'Data ENTRY'!C6&amp;" Overall Performance Average: "&amp;(ROUND(('Data ENTRY'!E8),3)*100)&amp;"%"</f>
        <v>Viral Suppression (HAB) Overall Performance Average: 73.7%</v>
      </c>
      <c r="B1" s="311"/>
      <c r="C1" s="311"/>
      <c r="D1" s="311"/>
      <c r="E1" s="312"/>
    </row>
    <row r="2" spans="1:7" s="215" customFormat="1" ht="32.25" customHeight="1" thickBot="1" x14ac:dyDescent="0.45">
      <c r="A2" s="211"/>
      <c r="B2" s="212" t="str">
        <f>'Data ENTRY'!A9</f>
        <v>65&gt;</v>
      </c>
      <c r="C2" s="213" t="str">
        <f>'Data ENTRY'!A10</f>
        <v>40-64</v>
      </c>
      <c r="D2" s="213" t="str">
        <f>'Data ENTRY'!A11</f>
        <v>25-39</v>
      </c>
      <c r="E2" s="214" t="str">
        <f>'Data ENTRY'!A12</f>
        <v>Youth (&lt;24)</v>
      </c>
    </row>
    <row r="3" spans="1:7" s="220" customFormat="1" ht="15.45" x14ac:dyDescent="0.4">
      <c r="A3" s="216" t="s">
        <v>56</v>
      </c>
      <c r="B3" s="217">
        <f>'Data ENTRY'!D9</f>
        <v>52</v>
      </c>
      <c r="C3" s="218">
        <f>'Data ENTRY'!D10</f>
        <v>526</v>
      </c>
      <c r="D3" s="218">
        <f>'Data ENTRY'!D11</f>
        <v>789</v>
      </c>
      <c r="E3" s="219">
        <f>'Data ENTRY'!D12</f>
        <v>110</v>
      </c>
    </row>
    <row r="4" spans="1:7" s="220" customFormat="1" ht="15.9" thickBot="1" x14ac:dyDescent="0.45">
      <c r="A4" s="221" t="s">
        <v>119</v>
      </c>
      <c r="B4" s="222">
        <f>'Data ENTRY'!E9</f>
        <v>0.90384615384615385</v>
      </c>
      <c r="C4" s="223">
        <f>'Data ENTRY'!E10</f>
        <v>0.67870722433460073</v>
      </c>
      <c r="D4" s="223">
        <f>'Data ENTRY'!E11</f>
        <v>0.82762991128010144</v>
      </c>
      <c r="E4" s="224">
        <f>'Data ENTRY'!E12</f>
        <v>0.51818181818181819</v>
      </c>
    </row>
    <row r="5" spans="1:7" ht="15.9" thickTop="1" x14ac:dyDescent="0.4">
      <c r="A5" s="225" t="s">
        <v>11</v>
      </c>
      <c r="B5" s="226" t="str">
        <f>TRIM(LEFT(SUBSTITUTE('Viral Suppression Analysis'!C26," ",REPT(" ",100)),200))</f>
        <v>NO DISPARITY</v>
      </c>
      <c r="C5" s="227" t="str">
        <f>TRIM(LEFT(SUBSTITUTE('Viral Suppression Analysis'!C27," ",REPT(" ",100)),200))</f>
        <v>MAYBE DISPARITY</v>
      </c>
      <c r="D5" s="227" t="str">
        <f>TRIM(LEFT(SUBSTITUTE('Viral Suppression Analysis'!C28," ",REPT(" ",100)),200))</f>
        <v>NO DISPARITY</v>
      </c>
      <c r="E5" s="228" t="str">
        <f>TRIM(LEFT(SUBSTITUTE('Viral Suppression Analysis'!C29," ",REPT(" ",100)),200))</f>
        <v>YES DISPARITY</v>
      </c>
      <c r="G5" s="209"/>
    </row>
    <row r="6" spans="1:7" ht="15.45" x14ac:dyDescent="0.4">
      <c r="A6" s="229" t="s">
        <v>51</v>
      </c>
      <c r="B6" s="230" t="str">
        <f>TRIM(LEFT(SUBSTITUTE('Viral Suppression Analysis'!D44," ",REPT(" ",100)),200))</f>
        <v>NO DISPARITY</v>
      </c>
      <c r="C6" s="231" t="str">
        <f>TRIM(LEFT(SUBSTITUTE('Viral Suppression Analysis'!D45," ",REPT(" ",100)),200))</f>
        <v>NO DISPARITY</v>
      </c>
      <c r="D6" s="231" t="str">
        <f>TRIM(LEFT(SUBSTITUTE('Viral Suppression Analysis'!D46," ",REPT(" ",100)),200))</f>
        <v>NO DISPARITY</v>
      </c>
      <c r="E6" s="232" t="str">
        <f>TRIM(LEFT(SUBSTITUTE('Viral Suppression Analysis'!D47," ",REPT(" ",100)),200))</f>
        <v>YES DISPARITY</v>
      </c>
      <c r="G6" s="209"/>
    </row>
    <row r="7" spans="1:7" ht="15.45" x14ac:dyDescent="0.4">
      <c r="A7" s="229" t="s">
        <v>12</v>
      </c>
      <c r="B7" s="230" t="str">
        <f>TRIM(LEFT(SUBSTITUTE('Viral Suppression Analysis'!C62," ",REPT(" ",100)),200))</f>
        <v>NO DISPARITY</v>
      </c>
      <c r="C7" s="231" t="str">
        <f>TRIM(LEFT(SUBSTITUTE('Viral Suppression Analysis'!C63," ",REPT(" ",100)),200))</f>
        <v>NO DISPARITY</v>
      </c>
      <c r="D7" s="231" t="str">
        <f>TRIM(LEFT(SUBSTITUTE('Viral Suppression Analysis'!C64," ",REPT(" ",100)),200))</f>
        <v>NO DISPARITY</v>
      </c>
      <c r="E7" s="232" t="str">
        <f>TRIM(LEFT(SUBSTITUTE('Viral Suppression Analysis'!C65," ",REPT(" ",100)),200))</f>
        <v>YES DISPARITY</v>
      </c>
      <c r="G7" s="209"/>
    </row>
    <row r="8" spans="1:7" ht="15.9" thickBot="1" x14ac:dyDescent="0.45">
      <c r="A8" s="233" t="s">
        <v>8</v>
      </c>
      <c r="B8" s="234" t="str">
        <f>TRIM(LEFT(SUBSTITUTE('Viral Suppression Analysis'!D79," ",REPT(" ",100)),200))</f>
        <v>NO DISPARITY</v>
      </c>
      <c r="C8" s="235" t="str">
        <f>TRIM(LEFT(SUBSTITUTE('Viral Suppression Analysis'!D84," ",REPT(" ",100)),200))</f>
        <v>NO DISPARITY</v>
      </c>
      <c r="D8" s="235" t="str">
        <f>TRIM(LEFT(SUBSTITUTE('Viral Suppression Analysis'!D89," ",REPT(" ",100)),200))</f>
        <v>NO DISPARITY</v>
      </c>
      <c r="E8" s="236" t="str">
        <f>TRIM(LEFT(SUBSTITUTE('Viral Suppression Analysis'!D94," ",REPT(" ",100)),200))</f>
        <v>YES DISPARITY</v>
      </c>
      <c r="G8" s="209"/>
    </row>
    <row r="9" spans="1:7" ht="15.9" thickTop="1" x14ac:dyDescent="0.4">
      <c r="A9" s="253" t="s">
        <v>13</v>
      </c>
      <c r="B9" s="254">
        <f>'Viral Suppression Analysis'!B104</f>
        <v>8.9078384798099748</v>
      </c>
      <c r="C9" s="255">
        <f>'Viral Suppression Analysis'!B105</f>
        <v>40.321888412017209</v>
      </c>
      <c r="D9" s="255">
        <f>'Viral Suppression Analysis'!B106</f>
        <v>113.15789473684212</v>
      </c>
      <c r="E9" s="256">
        <f>'Viral Suppression Analysis'!B107</f>
        <v>25.325354176844158</v>
      </c>
      <c r="G9" s="209"/>
    </row>
    <row r="10" spans="1:7" ht="8.25" customHeight="1" x14ac:dyDescent="0.35">
      <c r="A10" s="257"/>
      <c r="B10" s="257"/>
      <c r="C10" s="257"/>
      <c r="D10" s="257"/>
      <c r="E10" s="257"/>
      <c r="F10" s="257"/>
    </row>
    <row r="11" spans="1:7" ht="15.45" x14ac:dyDescent="0.4">
      <c r="A11" s="258" t="s">
        <v>23</v>
      </c>
      <c r="B11" s="257"/>
      <c r="C11" s="257"/>
      <c r="D11" s="257"/>
      <c r="E11" s="257"/>
      <c r="F11" s="257"/>
    </row>
    <row r="12" spans="1:7" x14ac:dyDescent="0.35">
      <c r="A12" s="259" t="s">
        <v>142</v>
      </c>
      <c r="B12" s="259"/>
      <c r="C12" s="257"/>
      <c r="D12" s="257"/>
      <c r="E12" s="257"/>
      <c r="F12" s="257"/>
    </row>
    <row r="13" spans="1:7" ht="16.5" customHeight="1" x14ac:dyDescent="0.35">
      <c r="A13" s="260" t="s">
        <v>69</v>
      </c>
      <c r="B13" s="259"/>
      <c r="C13" s="257"/>
      <c r="D13" s="257"/>
      <c r="E13" s="257"/>
      <c r="F13" s="257"/>
    </row>
    <row r="14" spans="1:7" ht="16.5" customHeight="1" x14ac:dyDescent="0.35">
      <c r="A14" s="259" t="s">
        <v>143</v>
      </c>
      <c r="B14" s="259"/>
      <c r="C14" s="257"/>
      <c r="D14" s="257"/>
      <c r="E14" s="257"/>
      <c r="F14" s="257"/>
    </row>
    <row r="15" spans="1:7" ht="16.5" customHeight="1" x14ac:dyDescent="0.35">
      <c r="A15" s="259" t="s">
        <v>67</v>
      </c>
      <c r="B15" s="259"/>
      <c r="C15" s="257"/>
      <c r="D15" s="257"/>
      <c r="E15" s="257"/>
      <c r="F15" s="257"/>
    </row>
    <row r="16" spans="1:7" ht="16.5" customHeight="1" x14ac:dyDescent="0.35">
      <c r="A16" s="259" t="s">
        <v>68</v>
      </c>
      <c r="B16" s="259"/>
      <c r="C16" s="257"/>
      <c r="D16" s="257"/>
      <c r="E16" s="257"/>
      <c r="F16" s="257"/>
    </row>
    <row r="17" spans="1:6" ht="16.5" customHeight="1" x14ac:dyDescent="0.35">
      <c r="A17" s="259" t="s">
        <v>144</v>
      </c>
      <c r="B17" s="259"/>
      <c r="C17" s="257"/>
      <c r="D17" s="257"/>
      <c r="E17" s="257"/>
      <c r="F17" s="257"/>
    </row>
    <row r="18" spans="1:6" ht="16.5" customHeight="1" x14ac:dyDescent="0.35">
      <c r="A18" s="259" t="s">
        <v>65</v>
      </c>
      <c r="B18" s="259"/>
      <c r="C18" s="257"/>
      <c r="D18" s="257"/>
      <c r="E18" s="257"/>
      <c r="F18" s="257"/>
    </row>
    <row r="19" spans="1:6" x14ac:dyDescent="0.35">
      <c r="A19" s="259" t="s">
        <v>145</v>
      </c>
      <c r="B19" s="257"/>
      <c r="C19" s="257"/>
      <c r="D19" s="257"/>
      <c r="E19" s="257"/>
      <c r="F19" s="257"/>
    </row>
    <row r="20" spans="1:6" x14ac:dyDescent="0.35">
      <c r="A20" s="259" t="s">
        <v>66</v>
      </c>
      <c r="B20" s="257"/>
      <c r="C20" s="257"/>
      <c r="D20" s="257"/>
      <c r="E20" s="257"/>
      <c r="F20" s="257"/>
    </row>
    <row r="21" spans="1:6" x14ac:dyDescent="0.35">
      <c r="A21" s="257" t="s">
        <v>115</v>
      </c>
      <c r="B21" s="257"/>
      <c r="C21" s="257"/>
      <c r="D21" s="257"/>
      <c r="E21" s="257"/>
      <c r="F21" s="257"/>
    </row>
    <row r="22" spans="1:6" x14ac:dyDescent="0.35">
      <c r="A22" s="257"/>
      <c r="B22" s="257"/>
      <c r="C22" s="257"/>
      <c r="D22" s="257"/>
      <c r="E22" s="257"/>
      <c r="F22" s="257"/>
    </row>
    <row r="23" spans="1:6" x14ac:dyDescent="0.35">
      <c r="A23" s="257"/>
      <c r="B23" s="257"/>
      <c r="C23" s="257"/>
      <c r="D23" s="257"/>
      <c r="E23" s="257"/>
      <c r="F23" s="257"/>
    </row>
    <row r="24" spans="1:6" ht="15.45" x14ac:dyDescent="0.4">
      <c r="A24" s="258" t="s">
        <v>22</v>
      </c>
      <c r="B24" s="257"/>
      <c r="C24" s="257"/>
      <c r="D24" s="257"/>
      <c r="E24" s="257"/>
      <c r="F24" s="257"/>
    </row>
    <row r="25" spans="1:6" x14ac:dyDescent="0.35">
      <c r="A25" s="259" t="s">
        <v>59</v>
      </c>
      <c r="B25" s="257"/>
      <c r="C25" s="257"/>
      <c r="D25" s="257"/>
      <c r="E25" s="257"/>
      <c r="F25" s="257"/>
    </row>
    <row r="26" spans="1:6" x14ac:dyDescent="0.35">
      <c r="A26" s="259" t="s">
        <v>146</v>
      </c>
      <c r="B26" s="257"/>
      <c r="C26" s="257"/>
      <c r="D26" s="257"/>
      <c r="E26" s="257"/>
      <c r="F26" s="257"/>
    </row>
    <row r="27" spans="1:6" x14ac:dyDescent="0.35">
      <c r="A27" s="259" t="s">
        <v>116</v>
      </c>
      <c r="B27" s="257"/>
      <c r="C27" s="257"/>
      <c r="D27" s="257"/>
      <c r="E27" s="257"/>
      <c r="F27" s="257"/>
    </row>
    <row r="28" spans="1:6" x14ac:dyDescent="0.35">
      <c r="A28" s="259"/>
      <c r="B28" s="257"/>
      <c r="C28" s="257"/>
      <c r="D28" s="257"/>
      <c r="E28" s="257"/>
      <c r="F28" s="257"/>
    </row>
    <row r="29" spans="1:6" ht="15.45" x14ac:dyDescent="0.4">
      <c r="A29" s="258" t="s">
        <v>24</v>
      </c>
      <c r="B29" s="257"/>
      <c r="C29" s="257"/>
      <c r="D29" s="257"/>
      <c r="E29" s="257"/>
      <c r="F29" s="257"/>
    </row>
    <row r="30" spans="1:6" x14ac:dyDescent="0.35">
      <c r="A30" s="313" t="s">
        <v>149</v>
      </c>
      <c r="B30" s="313"/>
      <c r="C30" s="313"/>
      <c r="D30" s="313"/>
      <c r="E30" s="313"/>
      <c r="F30" s="257"/>
    </row>
    <row r="31" spans="1:6" ht="15.45" x14ac:dyDescent="0.4">
      <c r="A31" s="290" t="s">
        <v>148</v>
      </c>
      <c r="B31" s="290"/>
      <c r="C31" s="290"/>
      <c r="D31" s="290"/>
      <c r="E31" s="290"/>
      <c r="F31" s="290"/>
    </row>
    <row r="32" spans="1:6" x14ac:dyDescent="0.35">
      <c r="A32" s="257"/>
      <c r="B32" s="257"/>
      <c r="C32" s="257"/>
      <c r="D32" s="257"/>
      <c r="E32" s="257"/>
      <c r="F32" s="257"/>
    </row>
    <row r="33" spans="1:6" x14ac:dyDescent="0.35">
      <c r="A33" s="257"/>
      <c r="B33" s="257"/>
      <c r="C33" s="257"/>
      <c r="D33" s="257"/>
      <c r="E33" s="257"/>
      <c r="F33" s="257"/>
    </row>
    <row r="34" spans="1:6" x14ac:dyDescent="0.35">
      <c r="A34" s="257"/>
      <c r="B34" s="257"/>
      <c r="C34" s="257"/>
      <c r="D34" s="257"/>
      <c r="E34" s="257"/>
      <c r="F34" s="257"/>
    </row>
    <row r="35" spans="1:6" x14ac:dyDescent="0.35">
      <c r="A35" s="257"/>
      <c r="B35" s="257"/>
      <c r="C35" s="257"/>
      <c r="D35" s="257"/>
      <c r="E35" s="257"/>
      <c r="F35" s="257"/>
    </row>
  </sheetData>
  <sheetProtection selectLockedCells="1" selectUnlockedCells="1"/>
  <mergeCells count="3">
    <mergeCell ref="A1:E1"/>
    <mergeCell ref="A31:F31"/>
    <mergeCell ref="A30:E30"/>
  </mergeCells>
  <conditionalFormatting sqref="B9:E9">
    <cfRule type="aboveAverage" dxfId="66" priority="3" equalAverage="1"/>
    <cfRule type="colorScale" priority="4">
      <colorScale>
        <cfvo type="min"/>
        <cfvo type="percentile" val="50"/>
        <cfvo type="max"/>
        <color theme="0"/>
        <color rgb="FFFF8585"/>
        <color theme="5" tint="-0.499984740745262"/>
      </colorScale>
    </cfRule>
  </conditionalFormatting>
  <conditionalFormatting sqref="B1:E29 B31:E33">
    <cfRule type="cellIs" dxfId="65" priority="1" stopIfTrue="1" operator="equal">
      <formula>"YES DISPARITY"</formula>
    </cfRule>
    <cfRule type="cellIs" dxfId="64" priority="2" stopIfTrue="1" operator="equal">
      <formula>"MAYBE DISPARITY"</formula>
    </cfRule>
  </conditionalFormatting>
  <hyperlinks>
    <hyperlink ref="A30" r:id="rId1" display="     For questions related to this workbook or calculating disparate impact, contact Michael Hager - Michael@NationalQualityCenter.org." xr:uid="{00000000-0004-0000-0300-000000000000}"/>
    <hyperlink ref="A30:E30" r:id="rId2" display="          For questions related to this workbook or calculating disparities contact CQII - Info@CQII.org" xr:uid="{00000000-0004-0000-0300-000003000000}"/>
  </hyperlinks>
  <pageMargins left="0.7" right="0.7" top="0.75" bottom="0.75" header="0.05" footer="0.3"/>
  <pageSetup scale="94" orientation="landscape" r:id="rId3"/>
  <headerFooter>
    <oddHeader>&amp;L&amp;"-,Bold"&amp;12NQC Qualifying Disparities in HIV Care
&amp;"-,Italic"Viral Suppression Disparities&amp;C&amp;G&amp;R&amp;12&amp;G</oddHeader>
    <oddFooter>&amp;L&amp;"-,Bold"&amp;E&amp;KFF0000http://enddisparitiesexchange.org/portfolio_item/resource-one/&amp;RCalculator Developed by Naomi Savitz, MPH New Solutions Inc. 
and Adapted by Michael Hager, MPH, MA NQC</oddFooter>
  </headerFooter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39997558519241921"/>
    <pageSetUpPr fitToPage="1"/>
  </sheetPr>
  <dimension ref="A1:I114"/>
  <sheetViews>
    <sheetView showGridLines="0" zoomScaleNormal="100" zoomScaleSheetLayoutView="100" workbookViewId="0">
      <selection activeCell="C130" sqref="C130"/>
    </sheetView>
  </sheetViews>
  <sheetFormatPr defaultColWidth="9.15234375" defaultRowHeight="15.9" x14ac:dyDescent="0.4"/>
  <cols>
    <col min="1" max="1" width="53.3046875" style="60" customWidth="1"/>
    <col min="2" max="4" width="23.69140625" style="60" customWidth="1"/>
    <col min="5" max="5" width="6" style="60" customWidth="1"/>
    <col min="6" max="6" width="5.84375" style="60" hidden="1" customWidth="1"/>
    <col min="7" max="9" width="9.15234375" style="60" hidden="1" customWidth="1"/>
    <col min="10" max="16384" width="9.15234375" style="60"/>
  </cols>
  <sheetData>
    <row r="1" spans="1:4" ht="16.75" thickTop="1" thickBot="1" x14ac:dyDescent="0.45">
      <c r="A1" s="161" t="s">
        <v>43</v>
      </c>
      <c r="B1" s="314" t="str">
        <f>'Data ENTRY'!C6</f>
        <v>Viral Suppression (HAB)</v>
      </c>
      <c r="C1" s="315"/>
      <c r="D1" s="316"/>
    </row>
    <row r="2" spans="1:4" ht="16.3" thickBot="1" x14ac:dyDescent="0.45">
      <c r="A2" s="162"/>
      <c r="B2" s="61" t="s">
        <v>5</v>
      </c>
      <c r="C2" s="62" t="s">
        <v>9</v>
      </c>
      <c r="D2" s="163" t="s">
        <v>10</v>
      </c>
    </row>
    <row r="3" spans="1:4" ht="16.3" thickTop="1" x14ac:dyDescent="0.4">
      <c r="A3" s="164" t="str">
        <f>'Data ENTRY'!A8</f>
        <v>Total</v>
      </c>
      <c r="B3" s="63">
        <f>'Data ENTRY'!E8</f>
        <v>0.73667130273528048</v>
      </c>
      <c r="C3" s="64">
        <f>'Data ENTRY'!C8</f>
        <v>1589</v>
      </c>
      <c r="D3" s="165">
        <f>'Data ENTRY'!D8</f>
        <v>2157</v>
      </c>
    </row>
    <row r="4" spans="1:4" x14ac:dyDescent="0.4">
      <c r="A4" s="164" t="str">
        <f>A$1&amp;" "&amp;A8</f>
        <v>Total Excluding 65&gt;</v>
      </c>
      <c r="B4" s="63">
        <f>(C4/D4)</f>
        <v>0.73254156769596201</v>
      </c>
      <c r="C4" s="64">
        <f>C3-C8</f>
        <v>1542</v>
      </c>
      <c r="D4" s="165">
        <f>D3-D8</f>
        <v>2105</v>
      </c>
    </row>
    <row r="5" spans="1:4" x14ac:dyDescent="0.4">
      <c r="A5" s="164" t="str">
        <f>A$1&amp;" "&amp;A9</f>
        <v>Total Excluding 40-64</v>
      </c>
      <c r="B5" s="63">
        <f>(C5/D5)</f>
        <v>0.75536480686695284</v>
      </c>
      <c r="C5" s="64">
        <f>C3-C9</f>
        <v>1232</v>
      </c>
      <c r="D5" s="165">
        <f>D3-D9</f>
        <v>1631</v>
      </c>
    </row>
    <row r="6" spans="1:4" x14ac:dyDescent="0.4">
      <c r="A6" s="164" t="str">
        <f>A$1&amp;" "&amp;A10</f>
        <v>Total Excluding 25-39</v>
      </c>
      <c r="B6" s="63">
        <f>(C6/D6)</f>
        <v>0.68421052631578949</v>
      </c>
      <c r="C6" s="64">
        <f>C3-C10</f>
        <v>936</v>
      </c>
      <c r="D6" s="165">
        <f>D3-D10</f>
        <v>1368</v>
      </c>
    </row>
    <row r="7" spans="1:4" ht="16.3" thickBot="1" x14ac:dyDescent="0.45">
      <c r="A7" s="166" t="str">
        <f>A$1&amp;" "&amp;A11</f>
        <v>Total Excluding Youth (&lt;24)</v>
      </c>
      <c r="B7" s="65">
        <f>(C7/D7)</f>
        <v>0.74841231069858327</v>
      </c>
      <c r="C7" s="66">
        <f>C3-C11</f>
        <v>1532</v>
      </c>
      <c r="D7" s="167">
        <f>D3-D11</f>
        <v>2047</v>
      </c>
    </row>
    <row r="8" spans="1:4" ht="16.3" thickTop="1" x14ac:dyDescent="0.4">
      <c r="A8" s="168" t="str">
        <f>'Data ENTRY'!A9</f>
        <v>65&gt;</v>
      </c>
      <c r="B8" s="67">
        <f>'Data ENTRY'!E9</f>
        <v>0.90384615384615385</v>
      </c>
      <c r="C8" s="68">
        <f>'Data ENTRY'!C9</f>
        <v>47</v>
      </c>
      <c r="D8" s="169">
        <f>'Data ENTRY'!D9</f>
        <v>52</v>
      </c>
    </row>
    <row r="9" spans="1:4" x14ac:dyDescent="0.4">
      <c r="A9" s="168" t="str">
        <f>'Data ENTRY'!A10</f>
        <v>40-64</v>
      </c>
      <c r="B9" s="69">
        <f>'Data ENTRY'!E10</f>
        <v>0.67870722433460073</v>
      </c>
      <c r="C9" s="70">
        <f>'Data ENTRY'!C10</f>
        <v>357</v>
      </c>
      <c r="D9" s="170">
        <f>'Data ENTRY'!D10</f>
        <v>526</v>
      </c>
    </row>
    <row r="10" spans="1:4" x14ac:dyDescent="0.4">
      <c r="A10" s="168" t="str">
        <f>'Data ENTRY'!A11</f>
        <v>25-39</v>
      </c>
      <c r="B10" s="69">
        <f>'Data ENTRY'!E11</f>
        <v>0.82762991128010144</v>
      </c>
      <c r="C10" s="70">
        <f>'Data ENTRY'!C11</f>
        <v>653</v>
      </c>
      <c r="D10" s="170">
        <f>'Data ENTRY'!D11</f>
        <v>789</v>
      </c>
    </row>
    <row r="11" spans="1:4" ht="16.3" thickBot="1" x14ac:dyDescent="0.45">
      <c r="A11" s="171" t="str">
        <f>'Data ENTRY'!A12</f>
        <v>Youth (&lt;24)</v>
      </c>
      <c r="B11" s="172">
        <f>'Data ENTRY'!E12</f>
        <v>0.51818181818181819</v>
      </c>
      <c r="C11" s="173">
        <f>'Data ENTRY'!C12</f>
        <v>57</v>
      </c>
      <c r="D11" s="174">
        <f>'Data ENTRY'!D12</f>
        <v>110</v>
      </c>
    </row>
    <row r="12" spans="1:4" s="71" customFormat="1" ht="15" thickTop="1" x14ac:dyDescent="0.4"/>
    <row r="13" spans="1:4" s="71" customFormat="1" ht="14.6" x14ac:dyDescent="0.4"/>
    <row r="14" spans="1:4" s="71" customFormat="1" ht="15" thickBot="1" x14ac:dyDescent="0.45"/>
    <row r="15" spans="1:4" s="71" customFormat="1" ht="15" thickTop="1" x14ac:dyDescent="0.4">
      <c r="A15" s="109"/>
      <c r="B15" s="110"/>
      <c r="C15" s="110"/>
      <c r="D15" s="111"/>
    </row>
    <row r="16" spans="1:4" x14ac:dyDescent="0.4">
      <c r="A16" s="86" t="s">
        <v>48</v>
      </c>
      <c r="B16" s="79"/>
      <c r="C16" s="79"/>
      <c r="D16" s="87"/>
    </row>
    <row r="17" spans="1:4" ht="16.3" thickBot="1" x14ac:dyDescent="0.45">
      <c r="A17" s="88" t="s">
        <v>15</v>
      </c>
      <c r="B17" s="79"/>
      <c r="C17" s="79"/>
      <c r="D17" s="87"/>
    </row>
    <row r="18" spans="1:4" x14ac:dyDescent="0.4">
      <c r="A18" s="89" t="s">
        <v>99</v>
      </c>
      <c r="B18" s="72" t="s">
        <v>89</v>
      </c>
      <c r="C18" s="79"/>
      <c r="D18" s="87"/>
    </row>
    <row r="19" spans="1:4" x14ac:dyDescent="0.4">
      <c r="A19" s="112" t="s">
        <v>17</v>
      </c>
      <c r="B19" s="73" t="s">
        <v>73</v>
      </c>
      <c r="C19" s="79"/>
      <c r="D19" s="87"/>
    </row>
    <row r="20" spans="1:4" x14ac:dyDescent="0.4">
      <c r="A20" s="144" t="s">
        <v>97</v>
      </c>
      <c r="B20" s="74" t="s">
        <v>75</v>
      </c>
      <c r="C20" s="79"/>
      <c r="D20" s="87"/>
    </row>
    <row r="21" spans="1:4" ht="16.3" thickBot="1" x14ac:dyDescent="0.45">
      <c r="A21" s="145" t="s">
        <v>90</v>
      </c>
      <c r="B21" s="75" t="s">
        <v>74</v>
      </c>
      <c r="C21" s="79"/>
      <c r="D21" s="87"/>
    </row>
    <row r="22" spans="1:4" x14ac:dyDescent="0.4">
      <c r="A22" s="93"/>
      <c r="B22" s="79"/>
      <c r="C22" s="79"/>
      <c r="D22" s="87"/>
    </row>
    <row r="23" spans="1:4" x14ac:dyDescent="0.4">
      <c r="A23" s="93"/>
      <c r="B23" s="79"/>
      <c r="C23" s="79"/>
      <c r="D23" s="87"/>
    </row>
    <row r="24" spans="1:4" ht="9" customHeight="1" x14ac:dyDescent="0.4">
      <c r="A24" s="86"/>
      <c r="B24" s="79"/>
      <c r="C24" s="79"/>
      <c r="D24" s="87"/>
    </row>
    <row r="25" spans="1:4" s="77" customFormat="1" ht="16.3" thickBot="1" x14ac:dyDescent="0.45">
      <c r="A25" s="94" t="str">
        <f>"Using the Absolute Disparity method, does a "&amp;'Data ENTRY'!C6&amp;" disparity exist?"</f>
        <v>Using the Absolute Disparity method, does a Viral Suppression (HAB) disparity exist?</v>
      </c>
      <c r="B25" s="78"/>
      <c r="C25" s="78"/>
      <c r="D25" s="95"/>
    </row>
    <row r="26" spans="1:4" ht="30" customHeight="1" x14ac:dyDescent="0.4">
      <c r="A26" s="195" t="str">
        <f>A8&amp;" -&gt; "&amp;A4</f>
        <v>65&gt; -&gt; Total Excluding 65&gt;</v>
      </c>
      <c r="B26" s="200" t="str">
        <f>"Absolute Disparity:        "&amp;ROUND(ABS((B8-B4)),2)</f>
        <v>Absolute Disparity:        0.17</v>
      </c>
      <c r="C26" s="123" t="str">
        <f>IF(OR(B4&lt;0.5,B8&lt;0.5),"UNDEFINED RESULT initial scores &lt; 0.5", IF(B8&gt;B3,"NO DISPARITY", IF((ABS((B8-B4)))&lt;0.05,"NO DISPARITY",IF((ABS((B8-B4)))&gt;0.1,"YES DISPARITY","MAYBE DISPARITY"))))</f>
        <v>NO DISPARITY</v>
      </c>
      <c r="D26" s="95"/>
    </row>
    <row r="27" spans="1:4" ht="30" customHeight="1" x14ac:dyDescent="0.4">
      <c r="A27" s="196" t="str">
        <f>A9&amp;" -&gt; "&amp;A5</f>
        <v>40-64 -&gt; Total Excluding 40-64</v>
      </c>
      <c r="B27" s="201" t="str">
        <f>"Absolute Disparity:        "&amp;ROUND(ABS((B9-B5)),2)</f>
        <v>Absolute Disparity:        0.08</v>
      </c>
      <c r="C27" s="132" t="str">
        <f>IF(OR(B5&lt;0.5,B9&lt;0.5),"UNDEFINED RESULT initial scores &lt; 0.5",IF(B9&gt;B3,"NO DISPARITY",IF((ABS((B9-B5)))&lt;0.05,"NO DISPARITY",IF((ABS((B9-B5)))&gt;0.1,"YES DISPARITY","MAYBE DISPARITY"))))</f>
        <v>MAYBE DISPARITY</v>
      </c>
      <c r="D27" s="87"/>
    </row>
    <row r="28" spans="1:4" ht="30" customHeight="1" x14ac:dyDescent="0.4">
      <c r="A28" s="196" t="str">
        <f>A10&amp;" -&gt; "&amp;A6</f>
        <v>25-39 -&gt; Total Excluding 25-39</v>
      </c>
      <c r="B28" s="201" t="str">
        <f>"Absolute Disparity:        "&amp;ROUND(ABS((B10-B6)),2)</f>
        <v>Absolute Disparity:        0.14</v>
      </c>
      <c r="C28" s="132" t="str">
        <f>IF(OR(B6&lt;0.5,B10&lt;0.5),"UNDEFINED RESULT initial scores &lt; 0.5",IF(B10&gt;B3,"NO DISPARITY",IF((ABS((B10-B6)))&lt;0.05,"NO DISPARITY",IF((ABS((B10-B6)))&gt;0.1,"YES DISPARITY","MAYBE DISPARITY"))))</f>
        <v>NO DISPARITY</v>
      </c>
      <c r="D28" s="87"/>
    </row>
    <row r="29" spans="1:4" ht="30" customHeight="1" thickBot="1" x14ac:dyDescent="0.45">
      <c r="A29" s="197" t="str">
        <f>A11&amp;" -&gt; "&amp;A7</f>
        <v>Youth (&lt;24) -&gt; Total Excluding Youth (&lt;24)</v>
      </c>
      <c r="B29" s="202" t="str">
        <f>"Absolute Disparity:        "&amp;ROUND(ABS((B11-B7)),2)</f>
        <v>Absolute Disparity:        0.23</v>
      </c>
      <c r="C29" s="206" t="str">
        <f>IF(OR(B7&lt;0.5,B11&lt;0.5),"UNDEFINED RESULT initial scores &lt; 0.5",IF(B11&gt;B3,"NO DISPARITY",IF((ABS((B11-B7)))&lt;0.05,"NO DISPARITY",IF((ABS((B11-B7)))&gt;0.1,"YES DISPARITY","MAYBE DISPARITY"))))</f>
        <v>YES DISPARITY</v>
      </c>
      <c r="D29" s="87"/>
    </row>
    <row r="30" spans="1:4" ht="16.3" thickBot="1" x14ac:dyDescent="0.45">
      <c r="A30" s="99"/>
      <c r="B30" s="113"/>
      <c r="C30" s="101"/>
      <c r="D30" s="102"/>
    </row>
    <row r="31" spans="1:4" ht="16.75" thickTop="1" thickBot="1" x14ac:dyDescent="0.45">
      <c r="A31" s="79"/>
      <c r="B31" s="80"/>
      <c r="C31" s="78"/>
    </row>
    <row r="32" spans="1:4" ht="16.3" thickTop="1" x14ac:dyDescent="0.4">
      <c r="A32" s="83"/>
      <c r="B32" s="84"/>
      <c r="C32" s="84"/>
      <c r="D32" s="104"/>
    </row>
    <row r="33" spans="1:9" x14ac:dyDescent="0.4">
      <c r="A33" s="86" t="s">
        <v>53</v>
      </c>
      <c r="B33" s="79"/>
      <c r="C33" s="79"/>
      <c r="D33" s="87"/>
    </row>
    <row r="34" spans="1:9" ht="16.3" thickBot="1" x14ac:dyDescent="0.45">
      <c r="A34" s="88" t="s">
        <v>16</v>
      </c>
      <c r="B34" s="79"/>
      <c r="C34" s="79"/>
      <c r="D34" s="87"/>
    </row>
    <row r="35" spans="1:9" x14ac:dyDescent="0.4">
      <c r="A35" s="134" t="s">
        <v>98</v>
      </c>
      <c r="B35" s="72" t="s">
        <v>89</v>
      </c>
      <c r="C35" s="79"/>
      <c r="D35" s="87"/>
    </row>
    <row r="36" spans="1:9" s="120" customFormat="1" x14ac:dyDescent="0.4">
      <c r="A36" s="143" t="s">
        <v>58</v>
      </c>
      <c r="B36" s="122" t="s">
        <v>73</v>
      </c>
      <c r="C36" s="121"/>
      <c r="D36" s="133"/>
    </row>
    <row r="37" spans="1:9" x14ac:dyDescent="0.4">
      <c r="A37" s="135" t="s">
        <v>91</v>
      </c>
      <c r="B37" s="81" t="s">
        <v>73</v>
      </c>
      <c r="C37" s="79"/>
      <c r="D37" s="87"/>
    </row>
    <row r="38" spans="1:9" x14ac:dyDescent="0.4">
      <c r="A38" s="142" t="s">
        <v>96</v>
      </c>
      <c r="B38" s="74" t="s">
        <v>75</v>
      </c>
      <c r="C38" s="79"/>
      <c r="D38" s="87"/>
    </row>
    <row r="39" spans="1:9" ht="16.3" thickBot="1" x14ac:dyDescent="0.45">
      <c r="A39" s="136" t="s">
        <v>92</v>
      </c>
      <c r="B39" s="75" t="s">
        <v>74</v>
      </c>
      <c r="C39" s="79"/>
      <c r="D39" s="87"/>
    </row>
    <row r="40" spans="1:9" x14ac:dyDescent="0.4">
      <c r="A40" s="105"/>
      <c r="B40" s="79"/>
      <c r="C40" s="79"/>
      <c r="D40" s="87"/>
    </row>
    <row r="41" spans="1:9" x14ac:dyDescent="0.4">
      <c r="A41" s="105"/>
      <c r="B41" s="79"/>
      <c r="C41" s="79"/>
      <c r="D41" s="87"/>
    </row>
    <row r="42" spans="1:9" ht="9" customHeight="1" x14ac:dyDescent="0.4">
      <c r="A42" s="93"/>
      <c r="B42" s="79"/>
      <c r="C42" s="79"/>
      <c r="D42" s="87"/>
    </row>
    <row r="43" spans="1:9" s="77" customFormat="1" ht="16.3" thickBot="1" x14ac:dyDescent="0.45">
      <c r="A43" s="94" t="str">
        <f>"Using the Relative Risk method, does a "&amp;'Data ENTRY'!C6&amp;" disparity exist?"</f>
        <v>Using the Relative Risk method, does a Viral Suppression (HAB) disparity exist?</v>
      </c>
      <c r="B43" s="78"/>
      <c r="C43" s="78"/>
      <c r="D43" s="95"/>
      <c r="F43" s="149" t="s">
        <v>57</v>
      </c>
      <c r="G43" s="149" t="s">
        <v>54</v>
      </c>
      <c r="H43" s="149" t="s">
        <v>55</v>
      </c>
      <c r="I43" s="120" t="s">
        <v>100</v>
      </c>
    </row>
    <row r="44" spans="1:9" s="79" customFormat="1" ht="40" customHeight="1" x14ac:dyDescent="0.4">
      <c r="A44" s="96" t="str">
        <f>A$26</f>
        <v>65&gt; -&gt; Total Excluding 65&gt;</v>
      </c>
      <c r="B44" s="185" t="str">
        <f>"Relative Risk:   "&amp;ROUND((B8/B4),3)</f>
        <v>Relative Risk:   1.234</v>
      </c>
      <c r="C44" s="192" t="str">
        <f>"95% CI:  "&amp;ROUND(EXP(LN(B8/B4)-(1.96*SQRT(((D8-C8)/(C8*D8))+((D4-C4)/(C4*D4))))),2)&amp;"-"&amp;ROUND(EXP(LN(B8/B4)+(1.96*SQRT(((D8-C8)/(C8*D8))+((D4-C4)/(C4*D4))))),2)</f>
        <v>95% CI:  1.13-1.35</v>
      </c>
      <c r="D44" s="182" t="str">
        <f>IF(B4&gt;0.8,"UNDEFINED RESULT initial scores &gt; 0.8", IF(I44="yes", "NO DISPARITY", IF((B8/B4)&lt;0.8, "YES DISPARITY", IF((B8/B4)&lt;0.875,"MAYBE DISPARITY", IF((B8/B4)&lt;1.14,"NO DISPARITY",IF((B8/B4)&lt;1.25,"MAYBE DISPARITY", "YES DISPARITY"))))))</f>
        <v>NO DISPARITY</v>
      </c>
      <c r="E44" s="78"/>
      <c r="F44" s="124">
        <v>1</v>
      </c>
      <c r="G44" s="125">
        <f>ROUND(EXP(LN(B8/B4)-(1.96*SQRT(((D8-C8)/(C8*D8))+((D4-C4)/(C4*D4))))),2)</f>
        <v>1.1299999999999999</v>
      </c>
      <c r="H44" s="125">
        <f>ROUND(EXP(LN(B8/B4)+(1.96*SQRT(((D8-C8)/(C8*D8))+((D4-C4)/(C4*D4))))),2)</f>
        <v>1.35</v>
      </c>
      <c r="I44" s="150" t="str">
        <f>IF(OR(AND(F44&gt;=G44,F44&lt;=H44),AND(G44&gt;1,H44&gt;1)),"yes","no")</f>
        <v>yes</v>
      </c>
    </row>
    <row r="45" spans="1:9" s="79" customFormat="1" ht="40" customHeight="1" x14ac:dyDescent="0.4">
      <c r="A45" s="97" t="str">
        <f>A$27</f>
        <v>40-64 -&gt; Total Excluding 40-64</v>
      </c>
      <c r="B45" s="186" t="str">
        <f>"Relative Risk:   " &amp;ROUND((B9/B5),3)</f>
        <v>Relative Risk:   0.899</v>
      </c>
      <c r="C45" s="193" t="str">
        <f>"95% CI:  "&amp;ROUND(EXP(LN(B9/B5)-(1.96*SQRT(((D9-C9)/(C9*D9))+((D5-C5)/(C5*D5))))),2)&amp;"-"&amp;ROUND(EXP(LN(B9/B5)+(1.96*SQRT(((D9-C9)/(C9*D9))+((D5-C5)/(C5*D5))))),2)</f>
        <v>95% CI:  0.84-0.96</v>
      </c>
      <c r="D45" s="183" t="str">
        <f>IF(B5&gt;0.8,"UNDEFINED RESULT initial scores &gt; 0.8", IF(I45="yes", "NO DISPARITY", IF((B9/B5)&lt;0.8, "YES DISPARITY", IF((B9/B5)&lt;0.875,"MAYBE DISPARITY", IF((B9/B5)&lt;1.14,"NO DISPARITY",IF((B9/B5)&lt;1.25,"MAYBE DISPARITY", "YES DISPARITY"))))))</f>
        <v>NO DISPARITY</v>
      </c>
      <c r="F45" s="125">
        <v>1</v>
      </c>
      <c r="G45" s="125">
        <f>ROUND(EXP(LN(B9/B5)-(1.96*SQRT(((D9-C9)/(C9*D9))+((D5-C5)/(C5*D5))))),2)</f>
        <v>0.84</v>
      </c>
      <c r="H45" s="125">
        <f>ROUND(EXP(LN(B9/B5)+(1.96*SQRT(((D9-C9)/(C9*D9))+((D5-C5)/(C5*D5))))),2)</f>
        <v>0.96</v>
      </c>
      <c r="I45" s="150" t="str">
        <f>IF(OR(AND(F45&gt;=G45,F45&lt;=H45),AND(G45&gt;1,H45&gt;1)),"yes","no")</f>
        <v>no</v>
      </c>
    </row>
    <row r="46" spans="1:9" s="79" customFormat="1" ht="40" customHeight="1" x14ac:dyDescent="0.4">
      <c r="A46" s="97" t="str">
        <f>A$28</f>
        <v>25-39 -&gt; Total Excluding 25-39</v>
      </c>
      <c r="B46" s="186" t="str">
        <f>"Relative Risk:   " &amp;ROUND((B10/B6),3)</f>
        <v>Relative Risk:   1.21</v>
      </c>
      <c r="C46" s="193" t="str">
        <f>"95% CI:  "&amp;ROUND(EXP(LN(B10/B6)-(1.96*SQRT(((D10-C10)/(C10*D10))+((D6-C6)/(C6*D6))))),2)&amp;"-"&amp;ROUND(EXP(LN(B10/B6)+(1.96*SQRT(((D10-C10)/(C10*D10))+((D6-C6)/(C6*D6))))),2)</f>
        <v>95% CI:  1.15-1.27</v>
      </c>
      <c r="D46" s="183" t="str">
        <f>IF(B6&gt;0.8,"UNDEFINED RESULT initial scores &gt; 0.8", IF(I46="yes", "NO DISPARITY", IF((B10/B6)&lt;0.8, "YES DISPARITY", IF((B10/B6)&lt;0.875,"MAYBE DISPARITY", IF((B10/B6)&lt;1.14,"NO DISPARITY",IF((B10/B6)&lt;1.25,"MAYBE DISPARITY", "YES DISPARITY"))))))</f>
        <v>NO DISPARITY</v>
      </c>
      <c r="F46" s="125">
        <v>1</v>
      </c>
      <c r="G46" s="125">
        <f>ROUND(EXP(LN(B10/B6)-(1.96*SQRT(((D10-C10)/(C10*D10))+((D6-C6)/(C6*D6))))),2)</f>
        <v>1.1499999999999999</v>
      </c>
      <c r="H46" s="125">
        <f>ROUND(EXP(LN(B10/B6)+(1.96*SQRT(((D10-C10)/(C10*D10))+((D6-C6)/(C6*D6))))),2)</f>
        <v>1.27</v>
      </c>
      <c r="I46" s="150" t="str">
        <f>IF(OR(AND(F46&gt;=G46,F46&lt;=H46),AND(G46&gt;1,H46&gt;1)),"yes","no")</f>
        <v>yes</v>
      </c>
    </row>
    <row r="47" spans="1:9" ht="40" customHeight="1" thickBot="1" x14ac:dyDescent="0.45">
      <c r="A47" s="98" t="str">
        <f>A$29</f>
        <v>Youth (&lt;24) -&gt; Total Excluding Youth (&lt;24)</v>
      </c>
      <c r="B47" s="187" t="str">
        <f>"Relative Risk:   "&amp;ROUND((B11/B7),3)</f>
        <v>Relative Risk:   0.692</v>
      </c>
      <c r="C47" s="194" t="str">
        <f>"95% CI:  "&amp;ROUND(EXP(LN(B11/B7)-(1.96*SQRT(((D11-C11)/(C11*D11))+((D7-C7)/(C7*D7))))),2)&amp;"-"&amp;ROUND(EXP(LN(B11/B7)+(1.96*SQRT(((D11-C11)/(C11*D11))+((D7-C7)/(C7*D7))))),2)</f>
        <v>95% CI:  0.58-0.83</v>
      </c>
      <c r="D47" s="184" t="str">
        <f>IF(B7&gt;0.8,"UNDEFINED RESULT initial scores &gt; 0.8", IF(I47="yes", "NO DISPARITY", IF((B11/B7)&lt;0.8, "YES DISPARITY", IF((B11/B7)&lt;0.875,"MAYBE DISPARITY", IF((B11/B7)&lt;1.14,"NO DISPARITY",IF((B11/B7)&lt;1.25,"MAYBE DISPARITY", "YES DISPARITY"))))))</f>
        <v>YES DISPARITY</v>
      </c>
      <c r="F47" s="126">
        <v>1</v>
      </c>
      <c r="G47" s="125">
        <f>ROUND(EXP(LN(B11/B7)-(1.96*SQRT(((D11-C11)/(C11*D11))+((D7-C7)/(C7*D7))))),2)</f>
        <v>0.57999999999999996</v>
      </c>
      <c r="H47" s="125">
        <f>ROUND(EXP(LN(B11/B7)+(1.96*SQRT(((D11-C11)/(C11*D11))+((D7-C7)/(C7*D7))))),2)</f>
        <v>0.83</v>
      </c>
      <c r="I47" s="150" t="str">
        <f>IF(OR(AND(F47&gt;=G47,F47&lt;=H47),AND(G47&gt;1,H47&gt;1)),"yes","no")</f>
        <v>no</v>
      </c>
    </row>
    <row r="48" spans="1:9" ht="16.3" thickBot="1" x14ac:dyDescent="0.45">
      <c r="A48" s="106"/>
      <c r="B48" s="100"/>
      <c r="C48" s="107"/>
      <c r="D48" s="108"/>
    </row>
    <row r="49" spans="1:6" ht="16.3" thickTop="1" x14ac:dyDescent="0.4">
      <c r="A49" s="103"/>
      <c r="B49" s="82"/>
      <c r="C49" s="79"/>
      <c r="D49" s="78"/>
    </row>
    <row r="50" spans="1:6" ht="16.3" thickBot="1" x14ac:dyDescent="0.45">
      <c r="A50" s="79"/>
      <c r="B50" s="82"/>
      <c r="C50" s="78"/>
    </row>
    <row r="51" spans="1:6" ht="16.3" thickTop="1" x14ac:dyDescent="0.4">
      <c r="A51" s="83"/>
      <c r="B51" s="84"/>
      <c r="C51" s="84"/>
      <c r="D51" s="85"/>
    </row>
    <row r="52" spans="1:6" x14ac:dyDescent="0.4">
      <c r="A52" s="86" t="s">
        <v>52</v>
      </c>
      <c r="B52" s="79"/>
      <c r="C52" s="79"/>
      <c r="D52" s="87"/>
    </row>
    <row r="53" spans="1:6" ht="16.3" thickBot="1" x14ac:dyDescent="0.45">
      <c r="A53" s="88" t="s">
        <v>86</v>
      </c>
      <c r="B53" s="79"/>
      <c r="C53" s="79"/>
      <c r="D53" s="87"/>
    </row>
    <row r="54" spans="1:6" x14ac:dyDescent="0.4">
      <c r="A54" s="89" t="s">
        <v>98</v>
      </c>
      <c r="B54" s="72" t="s">
        <v>89</v>
      </c>
      <c r="C54" s="79"/>
      <c r="D54" s="87"/>
    </row>
    <row r="55" spans="1:6" x14ac:dyDescent="0.4">
      <c r="A55" s="90" t="s">
        <v>95</v>
      </c>
      <c r="B55" s="81" t="s">
        <v>73</v>
      </c>
      <c r="C55" s="79"/>
      <c r="D55" s="87"/>
    </row>
    <row r="56" spans="1:6" x14ac:dyDescent="0.4">
      <c r="A56" s="91" t="s">
        <v>94</v>
      </c>
      <c r="B56" s="74" t="s">
        <v>75</v>
      </c>
      <c r="C56" s="79"/>
      <c r="D56" s="87"/>
    </row>
    <row r="57" spans="1:6" ht="16.3" thickBot="1" x14ac:dyDescent="0.45">
      <c r="A57" s="92" t="s">
        <v>93</v>
      </c>
      <c r="B57" s="75" t="s">
        <v>74</v>
      </c>
      <c r="C57" s="79"/>
      <c r="D57" s="87"/>
    </row>
    <row r="58" spans="1:6" x14ac:dyDescent="0.4">
      <c r="A58" s="105"/>
      <c r="B58" s="79"/>
      <c r="C58" s="79"/>
      <c r="D58" s="87"/>
    </row>
    <row r="59" spans="1:6" x14ac:dyDescent="0.4">
      <c r="A59" s="105"/>
      <c r="B59" s="79"/>
      <c r="C59" s="79"/>
      <c r="D59" s="87"/>
    </row>
    <row r="60" spans="1:6" ht="9" customHeight="1" x14ac:dyDescent="0.4">
      <c r="A60" s="93"/>
      <c r="B60" s="79"/>
      <c r="C60" s="79"/>
      <c r="D60" s="87"/>
    </row>
    <row r="61" spans="1:6" s="77" customFormat="1" ht="16.3" thickBot="1" x14ac:dyDescent="0.45">
      <c r="A61" s="94" t="str">
        <f>"Using the Comparitive Disparity method, does a "&amp;'Data ENTRY'!C6&amp;" disparity exist?"</f>
        <v>Using the Comparitive Disparity method, does a Viral Suppression (HAB) disparity exist?</v>
      </c>
      <c r="B61" s="78"/>
      <c r="C61" s="78"/>
      <c r="D61" s="95"/>
    </row>
    <row r="62" spans="1:6" ht="31.75" x14ac:dyDescent="0.4">
      <c r="A62" s="96" t="str">
        <f>A$26</f>
        <v>65&gt; -&gt; Total Excluding 65&gt;</v>
      </c>
      <c r="B62" s="185" t="str">
        <f>"Comparative Disparity:   "&amp;ROUND(((B8/B4)-1),2)</f>
        <v>Comparative Disparity:   0.23</v>
      </c>
      <c r="C62" s="179" t="str">
        <f>D44</f>
        <v>NO DISPARITY</v>
      </c>
      <c r="D62" s="87"/>
    </row>
    <row r="63" spans="1:6" ht="30" customHeight="1" x14ac:dyDescent="0.4">
      <c r="A63" s="97" t="str">
        <f>A$27</f>
        <v>40-64 -&gt; Total Excluding 40-64</v>
      </c>
      <c r="B63" s="186" t="str">
        <f>"Comparative Disparity:  " &amp;ROUND(((B9/B5)-1),2)</f>
        <v>Comparative Disparity:  -0.1</v>
      </c>
      <c r="C63" s="180" t="str">
        <f>D45</f>
        <v>NO DISPARITY</v>
      </c>
      <c r="D63" s="87"/>
    </row>
    <row r="64" spans="1:6" ht="31.75" x14ac:dyDescent="0.4">
      <c r="A64" s="97" t="str">
        <f>A$28</f>
        <v>25-39 -&gt; Total Excluding 25-39</v>
      </c>
      <c r="B64" s="188" t="str">
        <f>"Comparative Disparity:  " &amp;ROUND(((B10/B6)-1),2)</f>
        <v>Comparative Disparity:  0.21</v>
      </c>
      <c r="C64" s="180" t="str">
        <f>D46</f>
        <v>NO DISPARITY</v>
      </c>
      <c r="D64" s="95"/>
      <c r="E64" s="77"/>
      <c r="F64" s="77"/>
    </row>
    <row r="65" spans="1:9" ht="30" customHeight="1" thickBot="1" x14ac:dyDescent="0.45">
      <c r="A65" s="98" t="str">
        <f>A$29</f>
        <v>Youth (&lt;24) -&gt; Total Excluding Youth (&lt;24)</v>
      </c>
      <c r="B65" s="189" t="str">
        <f>"Comparative Disparity:  " &amp;ROUND(((B11/B7)-1),2)</f>
        <v>Comparative Disparity:  -0.31</v>
      </c>
      <c r="C65" s="181" t="str">
        <f>D47</f>
        <v>YES DISPARITY</v>
      </c>
      <c r="D65" s="87"/>
    </row>
    <row r="66" spans="1:9" ht="16.3" thickBot="1" x14ac:dyDescent="0.45">
      <c r="A66" s="99"/>
      <c r="B66" s="100"/>
      <c r="C66" s="101"/>
      <c r="D66" s="102"/>
    </row>
    <row r="67" spans="1:9" ht="16.75" thickTop="1" thickBot="1" x14ac:dyDescent="0.45">
      <c r="A67" s="79"/>
      <c r="B67" s="82"/>
      <c r="C67" s="78"/>
      <c r="D67" s="79"/>
    </row>
    <row r="68" spans="1:9" ht="16.3" thickTop="1" x14ac:dyDescent="0.4">
      <c r="A68" s="83"/>
      <c r="B68" s="84"/>
      <c r="C68" s="84"/>
      <c r="D68" s="85"/>
    </row>
    <row r="69" spans="1:9" ht="16.3" thickBot="1" x14ac:dyDescent="0.45">
      <c r="A69" s="86" t="s">
        <v>49</v>
      </c>
      <c r="B69" s="79"/>
      <c r="C69" s="79"/>
      <c r="D69" s="87"/>
    </row>
    <row r="70" spans="1:9" x14ac:dyDescent="0.4">
      <c r="A70" s="137" t="s">
        <v>87</v>
      </c>
      <c r="B70" s="72" t="s">
        <v>73</v>
      </c>
      <c r="C70" s="79"/>
      <c r="D70" s="87"/>
    </row>
    <row r="71" spans="1:9" s="120" customFormat="1" x14ac:dyDescent="0.4">
      <c r="A71" s="143" t="s">
        <v>58</v>
      </c>
      <c r="B71" s="122" t="s">
        <v>73</v>
      </c>
      <c r="C71" s="121"/>
      <c r="D71" s="133"/>
    </row>
    <row r="72" spans="1:9" ht="16.3" thickBot="1" x14ac:dyDescent="0.45">
      <c r="A72" s="136" t="s">
        <v>88</v>
      </c>
      <c r="B72" s="75" t="s">
        <v>74</v>
      </c>
      <c r="C72" s="79"/>
      <c r="D72" s="87"/>
    </row>
    <row r="73" spans="1:9" x14ac:dyDescent="0.4">
      <c r="A73" s="105"/>
      <c r="B73" s="79"/>
      <c r="C73" s="79"/>
      <c r="D73" s="87"/>
    </row>
    <row r="74" spans="1:9" x14ac:dyDescent="0.4">
      <c r="A74" s="105"/>
      <c r="B74" s="79"/>
      <c r="C74" s="79"/>
      <c r="D74" s="87"/>
    </row>
    <row r="75" spans="1:9" ht="9" customHeight="1" thickBot="1" x14ac:dyDescent="0.45">
      <c r="A75" s="105"/>
      <c r="B75" s="79"/>
      <c r="C75" s="79"/>
      <c r="D75" s="87"/>
    </row>
    <row r="76" spans="1:9" s="116" customFormat="1" ht="30" customHeight="1" thickBot="1" x14ac:dyDescent="0.45">
      <c r="A76" s="203" t="str">
        <f>A8&amp;" Disparity Odds"</f>
        <v>65&gt; Disparity Odds</v>
      </c>
      <c r="B76" s="127" t="s">
        <v>3</v>
      </c>
      <c r="C76" s="128" t="str">
        <f>"YES "&amp;'Data ENTRY'!C6</f>
        <v>YES Viral Suppression (HAB)</v>
      </c>
      <c r="D76" s="138" t="str">
        <f>"NO "&amp;'Data ENTRY'!C6</f>
        <v>NO Viral Suppression (HAB)</v>
      </c>
      <c r="F76" s="103"/>
      <c r="G76" s="119"/>
      <c r="H76" s="119"/>
    </row>
    <row r="77" spans="1:9" s="116" customFormat="1" ht="30" customHeight="1" thickTop="1" x14ac:dyDescent="0.4">
      <c r="A77" s="204" t="str">
        <f>"Status 1 ("&amp;A8&amp;")"</f>
        <v>Status 1 (65&gt;)</v>
      </c>
      <c r="B77" s="148">
        <f>B8</f>
        <v>0.90384615384615385</v>
      </c>
      <c r="C77" s="130">
        <f>C8</f>
        <v>47</v>
      </c>
      <c r="D77" s="139">
        <f>(1-B77)*(C77/B77)</f>
        <v>5</v>
      </c>
      <c r="F77" s="119"/>
      <c r="G77" s="103"/>
      <c r="H77" s="103"/>
    </row>
    <row r="78" spans="1:9" s="116" customFormat="1" ht="30" customHeight="1" thickBot="1" x14ac:dyDescent="0.45">
      <c r="A78" s="205" t="str">
        <f>"Status 2 ("&amp;A4&amp;")"</f>
        <v>Status 2 (Total Excluding 65&gt;)</v>
      </c>
      <c r="B78" s="175">
        <f>B4</f>
        <v>0.73254156769596201</v>
      </c>
      <c r="C78" s="176">
        <f>C4</f>
        <v>1542</v>
      </c>
      <c r="D78" s="177">
        <f>(1-B78)*(C78/B78)</f>
        <v>563</v>
      </c>
      <c r="F78" s="149" t="s">
        <v>57</v>
      </c>
      <c r="G78" s="120" t="s">
        <v>54</v>
      </c>
      <c r="H78" s="120" t="s">
        <v>55</v>
      </c>
      <c r="I78" s="120" t="s">
        <v>100</v>
      </c>
    </row>
    <row r="79" spans="1:9" s="116" customFormat="1" ht="16.75" thickTop="1" thickBot="1" x14ac:dyDescent="0.45">
      <c r="A79" s="198" t="s">
        <v>47</v>
      </c>
      <c r="B79" s="190" t="str">
        <f>"Odds Ratio:  " &amp;ROUND((C77*D78)/(D77*C78),2)</f>
        <v>Odds Ratio:  3.43</v>
      </c>
      <c r="C79" s="191" t="str">
        <f>"95% CI:  "&amp;ROUND(EXP(LN((C77*D78)/(D77*C78))-(1.96*SQRT((1/$C$77)+(1/$D$77)+(1/$C$78)+(1/$D$78)))),2)&amp;" - "&amp;ROUND(EXP(LN((C77*D78)/(D77*C78))+(1.96*SQRT((1/$C$77)+(1/$D$77)+(1/$C$78)+(1/$D$78)))),2)</f>
        <v>95% CI:  1.36 - 8.67</v>
      </c>
      <c r="D79" s="199" t="str">
        <f>IF(((C77*D78)/(D77*C78))&gt;0.67,"NO DISPARITY", IF(B8&gt;B3,"NO DISPARITY", IF(OR(G79&gt;=1,H79&gt;=1),"NO DISPARITY","YES DISPARITY")))</f>
        <v>NO DISPARITY</v>
      </c>
      <c r="F79" s="126">
        <v>1</v>
      </c>
      <c r="G79" s="125">
        <f>ROUND(EXP(LN((C77*D78)/(D77*C78))-(1.96*SQRT((1/$C$77)+(1/$D$77)+(1/$C$78)+(1/$D$78)))),2)</f>
        <v>1.36</v>
      </c>
      <c r="H79" s="125">
        <f>ROUND(EXP(LN((C77*D78)/(D77*C78))+(1.96*SQRT((1/$C$77)+(1/$D$77)+(1/$C$78)+(1/$D$78)))),2)</f>
        <v>8.67</v>
      </c>
      <c r="I79" s="150" t="str">
        <f>IF(OR(AND(F79&gt;=G79,F79&lt;=H79),AND(G79&gt;1,H79&gt;1)),"yes","no")</f>
        <v>yes</v>
      </c>
    </row>
    <row r="80" spans="1:9" ht="9" customHeight="1" thickBot="1" x14ac:dyDescent="0.45">
      <c r="A80" s="140"/>
      <c r="B80" s="121"/>
      <c r="C80" s="121"/>
      <c r="D80" s="133"/>
      <c r="F80" s="120"/>
      <c r="G80" s="121"/>
      <c r="H80" s="121"/>
      <c r="I80" s="121"/>
    </row>
    <row r="81" spans="1:9" s="116" customFormat="1" ht="30" customHeight="1" thickBot="1" x14ac:dyDescent="0.45">
      <c r="A81" s="203" t="str">
        <f>A9&amp;" Disparity Odds"</f>
        <v>40-64 Disparity Odds</v>
      </c>
      <c r="B81" s="127" t="s">
        <v>3</v>
      </c>
      <c r="C81" s="128" t="str">
        <f>"YES "&amp;'Data ENTRY'!C6</f>
        <v>YES Viral Suppression (HAB)</v>
      </c>
      <c r="D81" s="138" t="str">
        <f>"NO "&amp;'Data ENTRY'!C6</f>
        <v>NO Viral Suppression (HAB)</v>
      </c>
      <c r="F81" s="126"/>
      <c r="G81" s="125"/>
      <c r="H81" s="129"/>
      <c r="I81" s="129"/>
    </row>
    <row r="82" spans="1:9" s="116" customFormat="1" ht="30" customHeight="1" thickTop="1" x14ac:dyDescent="0.4">
      <c r="A82" s="204" t="str">
        <f>"Status 1 ("&amp;A9&amp;")"</f>
        <v>Status 1 (40-64)</v>
      </c>
      <c r="B82" s="147">
        <f>B9</f>
        <v>0.67870722433460073</v>
      </c>
      <c r="C82" s="131">
        <f>C9</f>
        <v>357</v>
      </c>
      <c r="D82" s="141">
        <f>(1-B82)*(C82/B82)</f>
        <v>169</v>
      </c>
      <c r="F82" s="126"/>
      <c r="G82" s="129"/>
      <c r="H82" s="125"/>
      <c r="I82" s="125"/>
    </row>
    <row r="83" spans="1:9" s="116" customFormat="1" ht="30" customHeight="1" thickBot="1" x14ac:dyDescent="0.45">
      <c r="A83" s="205" t="str">
        <f>"Status 2 ("&amp;A5&amp;")"</f>
        <v>Status 2 (Total Excluding 40-64)</v>
      </c>
      <c r="B83" s="175">
        <f>B5</f>
        <v>0.75536480686695284</v>
      </c>
      <c r="C83" s="176">
        <f>C5</f>
        <v>1232</v>
      </c>
      <c r="D83" s="178">
        <f>(1-B83)*(C83/B83)</f>
        <v>398.99999999999989</v>
      </c>
      <c r="F83" s="149" t="s">
        <v>57</v>
      </c>
      <c r="G83" s="120" t="s">
        <v>54</v>
      </c>
      <c r="H83" s="120" t="s">
        <v>55</v>
      </c>
      <c r="I83" s="120" t="s">
        <v>100</v>
      </c>
    </row>
    <row r="84" spans="1:9" s="116" customFormat="1" ht="16.75" thickTop="1" thickBot="1" x14ac:dyDescent="0.45">
      <c r="A84" s="198" t="s">
        <v>47</v>
      </c>
      <c r="B84" s="190" t="str">
        <f>"Odds Ratio:  " &amp;ROUND((C82*D83)/(D82*C83),2)</f>
        <v>Odds Ratio:  0.68</v>
      </c>
      <c r="C84" s="191" t="str">
        <f>"95% CI:  "&amp;ROUND(EXP(LN((C$82*$D$83)/(D$82*C$83))-(1.96*SQRT((1/C$82)+(1/D$82)+(1/C$83)+(1/D$83)))),2)&amp;"-"&amp;ROUND(EXP(LN(($C$82*$D$83)/($D$82*$C$83))+(1.96*SQRT((1/$C$82)+(1/$D$82)+(1/$C$83)+(1/$D$83)))),2)</f>
        <v>95% CI:  0.55-0.85</v>
      </c>
      <c r="D84" s="199" t="str">
        <f>IF(((C82*D83)/(D82*C83))&gt;0.67,"NO DISPARITY", IF(B9&gt;B3,"NO DISPARITY", IF(OR(G84&gt;=1,H84&gt;=1),"NO DISPARITY","YES DISPARITY")))</f>
        <v>NO DISPARITY</v>
      </c>
      <c r="F84" s="126">
        <v>1</v>
      </c>
      <c r="G84" s="125">
        <f>ROUND(EXP(LN((C$82*$D$83)/(D$82*C$83))-(1.96*SQRT((1/C$82)+(1/D$82)+(1/C$83)+(1/D$83)))),2)</f>
        <v>0.55000000000000004</v>
      </c>
      <c r="H84" s="125">
        <f>ROUND(EXP(LN((C$82*$D$83)/(D$82*C$83))+(1.96*SQRT((1/C$82)+(1/D$82)+(1/C$83)+(1/D$83)))),2)</f>
        <v>0.85</v>
      </c>
      <c r="I84" s="150" t="str">
        <f>IF(OR(AND(1&gt;=G84,1&lt;=H84),AND(G84&gt;1,H84&gt;1)),"yes","no")</f>
        <v>no</v>
      </c>
    </row>
    <row r="85" spans="1:9" ht="9" customHeight="1" thickBot="1" x14ac:dyDescent="0.45">
      <c r="A85" s="140"/>
      <c r="B85" s="121"/>
      <c r="C85" s="121"/>
      <c r="D85" s="133"/>
      <c r="F85" s="120"/>
      <c r="G85" s="121"/>
      <c r="H85" s="121"/>
      <c r="I85" s="121"/>
    </row>
    <row r="86" spans="1:9" s="116" customFormat="1" ht="30" customHeight="1" thickBot="1" x14ac:dyDescent="0.45">
      <c r="A86" s="203" t="str">
        <f>A10&amp;" Disparity Odds"</f>
        <v>25-39 Disparity Odds</v>
      </c>
      <c r="B86" s="127" t="s">
        <v>3</v>
      </c>
      <c r="C86" s="128" t="str">
        <f>"YES "&amp;'Data ENTRY'!C6</f>
        <v>YES Viral Suppression (HAB)</v>
      </c>
      <c r="D86" s="138" t="str">
        <f>"NO "&amp;'Data ENTRY'!C6</f>
        <v>NO Viral Suppression (HAB)</v>
      </c>
      <c r="F86" s="126"/>
      <c r="G86" s="125"/>
      <c r="H86" s="129"/>
      <c r="I86" s="129"/>
    </row>
    <row r="87" spans="1:9" s="116" customFormat="1" ht="30" customHeight="1" thickTop="1" x14ac:dyDescent="0.4">
      <c r="A87" s="204" t="str">
        <f>"Status 1 ("&amp;A10&amp;")"</f>
        <v>Status 1 (25-39)</v>
      </c>
      <c r="B87" s="147">
        <f>B10</f>
        <v>0.82762991128010144</v>
      </c>
      <c r="C87" s="131">
        <f>C10</f>
        <v>653</v>
      </c>
      <c r="D87" s="141">
        <f>(1-B87)*(C87/B87)</f>
        <v>135.99999999999997</v>
      </c>
      <c r="F87" s="126"/>
      <c r="G87" s="129"/>
      <c r="H87" s="125"/>
      <c r="I87" s="125"/>
    </row>
    <row r="88" spans="1:9" s="116" customFormat="1" ht="30" customHeight="1" thickBot="1" x14ac:dyDescent="0.45">
      <c r="A88" s="205" t="str">
        <f>"Status 2 ("&amp;A6&amp;")"</f>
        <v>Status 2 (Total Excluding 25-39)</v>
      </c>
      <c r="B88" s="175">
        <f>B6</f>
        <v>0.68421052631578949</v>
      </c>
      <c r="C88" s="176">
        <f>C6</f>
        <v>936</v>
      </c>
      <c r="D88" s="178">
        <f>(1-B88)*(C88/B88)</f>
        <v>432</v>
      </c>
      <c r="F88" s="149" t="s">
        <v>57</v>
      </c>
      <c r="G88" s="120" t="s">
        <v>54</v>
      </c>
      <c r="H88" s="120" t="s">
        <v>55</v>
      </c>
      <c r="I88" s="120" t="s">
        <v>100</v>
      </c>
    </row>
    <row r="89" spans="1:9" s="116" customFormat="1" ht="16.75" thickTop="1" thickBot="1" x14ac:dyDescent="0.45">
      <c r="A89" s="198" t="s">
        <v>47</v>
      </c>
      <c r="B89" s="190" t="str">
        <f>"Odds Ratio:  " &amp;ROUND((C87*D88)/(D87*C88),2)</f>
        <v>Odds Ratio:  2.22</v>
      </c>
      <c r="C89" s="191" t="str">
        <f>"95% CI:  "&amp;ROUND(EXP(LN((C$87*D$88)/(D$87*C$88))-(1.96*SQRT((1/C$87)+(1/D$87)+(1/C$88)+(1/D$88)))),2)&amp;"-"&amp;ROUND(EXP(LN(($C$87*$D$88)/($D$87*$C$88))+(1.96*SQRT((1/$C$87)+(1/$D$87)+(1/$C$88)+(1/$D$88)))),2)</f>
        <v>95% CI:  1.78-2.75</v>
      </c>
      <c r="D89" s="199" t="str">
        <f>IF(((C87*D88)/(D87*C88))&gt;0.67,"NO DISPARITY", IF(B10&gt;B3,"NO DISPARITY", IF(OR(G89&gt;=1,H89&gt;=1),"NO DISPARITY","YES DISPARITY")))</f>
        <v>NO DISPARITY</v>
      </c>
      <c r="F89" s="126">
        <v>1</v>
      </c>
      <c r="G89" s="125">
        <f>ROUND(EXP(LN((C$87*D$88)/(D$87*C$88))-(1.96*SQRT((1/C$87)+(1/D$87)+(1/C$88)+(1/D$88)))),2)</f>
        <v>1.78</v>
      </c>
      <c r="H89" s="125">
        <f>ROUND(EXP(LN((C$87*D$88)/(D$87*C$88))+(1.96*SQRT((1/C$87)+(1/D$87)+(1/C$88)+(1/D$88)))),2)</f>
        <v>2.75</v>
      </c>
      <c r="I89" s="150" t="str">
        <f>IF(OR(AND(F89&gt;=G89,F89&lt;=H89),AND(G89&gt;1,H89&gt;1)),"yes","no")</f>
        <v>yes</v>
      </c>
    </row>
    <row r="90" spans="1:9" ht="9" customHeight="1" thickBot="1" x14ac:dyDescent="0.45">
      <c r="A90" s="140"/>
      <c r="B90" s="121"/>
      <c r="C90" s="121"/>
      <c r="D90" s="146"/>
      <c r="F90" s="120"/>
      <c r="G90" s="121"/>
      <c r="H90" s="121"/>
      <c r="I90" s="121"/>
    </row>
    <row r="91" spans="1:9" s="116" customFormat="1" ht="30" customHeight="1" thickBot="1" x14ac:dyDescent="0.45">
      <c r="A91" s="203" t="str">
        <f>A11&amp;" Disparity Odds"</f>
        <v>Youth (&lt;24) Disparity Odds</v>
      </c>
      <c r="B91" s="127" t="s">
        <v>3</v>
      </c>
      <c r="C91" s="128" t="str">
        <f>"YES "&amp;'Data ENTRY'!C6</f>
        <v>YES Viral Suppression (HAB)</v>
      </c>
      <c r="D91" s="138" t="str">
        <f>"NO "&amp;'Data ENTRY'!C6</f>
        <v>NO Viral Suppression (HAB)</v>
      </c>
      <c r="F91" s="126"/>
      <c r="G91" s="125"/>
      <c r="H91" s="129"/>
      <c r="I91" s="129"/>
    </row>
    <row r="92" spans="1:9" s="116" customFormat="1" ht="30" customHeight="1" thickTop="1" x14ac:dyDescent="0.4">
      <c r="A92" s="204" t="str">
        <f>"Status 1 ("&amp;A11&amp;")"</f>
        <v>Status 1 (Youth (&lt;24))</v>
      </c>
      <c r="B92" s="147">
        <f>B11</f>
        <v>0.51818181818181819</v>
      </c>
      <c r="C92" s="131">
        <f>C11</f>
        <v>57</v>
      </c>
      <c r="D92" s="141">
        <f>(1-B92)*(C92/B92)</f>
        <v>53</v>
      </c>
      <c r="F92" s="126"/>
      <c r="G92" s="129"/>
      <c r="H92" s="125"/>
      <c r="I92" s="125"/>
    </row>
    <row r="93" spans="1:9" s="116" customFormat="1" ht="30" customHeight="1" thickBot="1" x14ac:dyDescent="0.45">
      <c r="A93" s="205" t="str">
        <f>"Status 2 ("&amp;A7&amp;")"</f>
        <v>Status 2 (Total Excluding Youth (&lt;24))</v>
      </c>
      <c r="B93" s="175">
        <f>B7</f>
        <v>0.74841231069858327</v>
      </c>
      <c r="C93" s="176">
        <f>C7</f>
        <v>1532</v>
      </c>
      <c r="D93" s="178">
        <f>(1-B93)*(C93/B93)</f>
        <v>515</v>
      </c>
      <c r="F93" s="149" t="s">
        <v>57</v>
      </c>
      <c r="G93" s="120" t="s">
        <v>54</v>
      </c>
      <c r="H93" s="120" t="s">
        <v>55</v>
      </c>
      <c r="I93" s="120" t="s">
        <v>100</v>
      </c>
    </row>
    <row r="94" spans="1:9" s="116" customFormat="1" ht="16.75" thickTop="1" thickBot="1" x14ac:dyDescent="0.45">
      <c r="A94" s="198" t="s">
        <v>47</v>
      </c>
      <c r="B94" s="190" t="str">
        <f>"Odds Ratio:  " &amp;ROUND((C92*D93)/(D92*C93),2)</f>
        <v>Odds Ratio:  0.36</v>
      </c>
      <c r="C94" s="191" t="str">
        <f>"95% CI:  "&amp;ROUND(EXP(LN((C$92*D$93)/(D$92*C$93))-(1.96*SQRT((1/C$92)+(1/D$92)+(1/C$93)+(1/D$93)))),2)&amp;"-"&amp;ROUND(EXP(LN(($C$92*$D$93)/($D$92*$C$93))+(1.96*SQRT((1/$C$92)+(1/$D$92)+(1/$C$93)+(1/$D$93)))),2)</f>
        <v>95% CI:  0.25-0.53</v>
      </c>
      <c r="D94" s="199" t="str">
        <f>IF(((C92*D93)/(D92*C93))&gt;0.67,"NO DISPARITY", IF(B11&gt;B3,"NO DISPARITY", IF(OR(G94&gt;=1,H94&gt;=1),"NO DISPARITY","YES DISPARITY")))</f>
        <v>YES DISPARITY</v>
      </c>
      <c r="F94" s="126">
        <v>1</v>
      </c>
      <c r="G94" s="126">
        <f>ROUND(EXP(LN((C$92*D$93)/(D$92*C$93))-(1.96*SQRT((1/C$92)+(1/D$92)+(1/C$93)+(1/D$93)))),2)</f>
        <v>0.25</v>
      </c>
      <c r="H94" s="126">
        <f>ROUND(EXP(LN((C$92*D$93)/(D$92*C$93))+(1.96*SQRT((1/C$92)+(1/D$92)+(1/C$93)+(1/D$93)))),2)</f>
        <v>0.53</v>
      </c>
      <c r="I94" s="150" t="str">
        <f>IF(OR(AND(F94&gt;=G94,F94&lt;=H94),AND(G94&gt;1,H94&gt;1)),"yes","no")</f>
        <v>no</v>
      </c>
    </row>
    <row r="95" spans="1:9" ht="16.3" thickBot="1" x14ac:dyDescent="0.45">
      <c r="A95" s="99"/>
      <c r="B95" s="107"/>
      <c r="C95" s="107"/>
      <c r="D95" s="102"/>
    </row>
    <row r="96" spans="1:9" ht="16.3" thickTop="1" x14ac:dyDescent="0.4">
      <c r="A96" s="79"/>
      <c r="B96" s="79"/>
      <c r="C96" s="79"/>
      <c r="D96" s="79"/>
    </row>
    <row r="97" spans="1:6" ht="16.3" thickBot="1" x14ac:dyDescent="0.45"/>
    <row r="98" spans="1:6" ht="16.3" thickTop="1" x14ac:dyDescent="0.4">
      <c r="A98" s="83"/>
      <c r="B98" s="84"/>
      <c r="C98" s="84"/>
      <c r="D98" s="85"/>
    </row>
    <row r="99" spans="1:6" x14ac:dyDescent="0.4">
      <c r="A99" s="86" t="s">
        <v>50</v>
      </c>
      <c r="B99" s="79"/>
      <c r="C99" s="79"/>
      <c r="D99" s="87"/>
    </row>
    <row r="100" spans="1:6" x14ac:dyDescent="0.4">
      <c r="A100" s="88" t="s">
        <v>6</v>
      </c>
      <c r="B100" s="79"/>
      <c r="C100" s="79"/>
      <c r="D100" s="87"/>
    </row>
    <row r="101" spans="1:6" x14ac:dyDescent="0.4">
      <c r="A101" s="93"/>
      <c r="B101" s="79"/>
      <c r="C101" s="79"/>
      <c r="D101" s="87"/>
    </row>
    <row r="102" spans="1:6" s="77" customFormat="1" x14ac:dyDescent="0.4">
      <c r="A102" s="94" t="s">
        <v>7</v>
      </c>
      <c r="B102" s="78"/>
      <c r="C102" s="78"/>
      <c r="D102" s="95"/>
    </row>
    <row r="103" spans="1:6" s="77" customFormat="1" ht="16.3" thickBot="1" x14ac:dyDescent="0.45">
      <c r="A103" s="94" t="s">
        <v>71</v>
      </c>
      <c r="B103" s="78"/>
      <c r="C103" s="78"/>
      <c r="D103" s="95"/>
    </row>
    <row r="104" spans="1:6" s="116" customFormat="1" ht="30" customHeight="1" x14ac:dyDescent="0.4">
      <c r="A104" s="96" t="str">
        <f>A$26</f>
        <v>65&gt; -&gt; Total Excluding 65&gt;</v>
      </c>
      <c r="B104" s="153">
        <f>(ABS((B8-B4)))*D8</f>
        <v>8.9078384798099748</v>
      </c>
      <c r="C104" s="103"/>
      <c r="D104" s="115"/>
    </row>
    <row r="105" spans="1:6" s="116" customFormat="1" ht="30" customHeight="1" x14ac:dyDescent="0.4">
      <c r="A105" s="97" t="str">
        <f>A$27</f>
        <v>40-64 -&gt; Total Excluding 40-64</v>
      </c>
      <c r="B105" s="154">
        <f>(ABS((B9-B5)))*D9</f>
        <v>40.321888412017209</v>
      </c>
      <c r="C105" s="103"/>
      <c r="D105" s="117"/>
      <c r="E105" s="118"/>
      <c r="F105" s="118"/>
    </row>
    <row r="106" spans="1:6" s="116" customFormat="1" ht="30" customHeight="1" x14ac:dyDescent="0.4">
      <c r="A106" s="97" t="str">
        <f>A$28</f>
        <v>25-39 -&gt; Total Excluding 25-39</v>
      </c>
      <c r="B106" s="154">
        <f>(ABS((B10-B6)))*D10</f>
        <v>113.15789473684212</v>
      </c>
      <c r="C106" s="103"/>
      <c r="D106" s="115"/>
    </row>
    <row r="107" spans="1:6" s="116" customFormat="1" ht="30" customHeight="1" thickBot="1" x14ac:dyDescent="0.45">
      <c r="A107" s="98" t="str">
        <f>A$29</f>
        <v>Youth (&lt;24) -&gt; Total Excluding Youth (&lt;24)</v>
      </c>
      <c r="B107" s="155">
        <f>(ABS((B11-B7)))*D11</f>
        <v>25.325354176844158</v>
      </c>
      <c r="C107" s="103"/>
      <c r="D107" s="115"/>
    </row>
    <row r="108" spans="1:6" s="116" customFormat="1" ht="30" customHeight="1" x14ac:dyDescent="0.4">
      <c r="A108" s="207"/>
      <c r="B108" s="208"/>
      <c r="C108" s="103"/>
      <c r="D108" s="115"/>
    </row>
    <row r="109" spans="1:6" ht="16.3" thickBot="1" x14ac:dyDescent="0.45">
      <c r="A109" s="99"/>
      <c r="B109" s="114"/>
      <c r="C109" s="107"/>
      <c r="D109" s="102"/>
    </row>
    <row r="110" spans="1:6" ht="16.3" thickTop="1" x14ac:dyDescent="0.4"/>
    <row r="114" spans="1:1" x14ac:dyDescent="0.4">
      <c r="A114" s="76"/>
    </row>
  </sheetData>
  <sheetProtection selectLockedCells="1" selectUnlockedCells="1"/>
  <mergeCells count="1">
    <mergeCell ref="B1:D1"/>
  </mergeCells>
  <conditionalFormatting sqref="B89">
    <cfRule type="expression" dxfId="63" priority="197">
      <formula>NOT((C87*D88)/(D87*C88)&gt;0.67)</formula>
    </cfRule>
    <cfRule type="expression" dxfId="62" priority="205">
      <formula>(C87*D88)/(D87*C88)&gt;0.67</formula>
    </cfRule>
  </conditionalFormatting>
  <conditionalFormatting sqref="B94">
    <cfRule type="expression" dxfId="61" priority="194">
      <formula>NOT((C92*D93)/(D92*C93)&gt;0.67)</formula>
    </cfRule>
    <cfRule type="expression" dxfId="60" priority="204">
      <formula>(C92*D93)/(D92*C93)&gt;0.67</formula>
    </cfRule>
  </conditionalFormatting>
  <conditionalFormatting sqref="B84">
    <cfRule type="expression" dxfId="59" priority="201">
      <formula>NOT((C82*D83)/(D82*C83)&gt;0.67)</formula>
    </cfRule>
    <cfRule type="expression" dxfId="58" priority="203">
      <formula>(C82*D83)/(D82*C83)&gt;0.67</formula>
    </cfRule>
  </conditionalFormatting>
  <conditionalFormatting sqref="B79">
    <cfRule type="expression" dxfId="57" priority="199">
      <formula>NOT((C77*D78)/(D77*C78)&gt;0.67)</formula>
    </cfRule>
    <cfRule type="expression" dxfId="56" priority="202">
      <formula>(C77*D78)/(D77*C78)&gt;0.67</formula>
    </cfRule>
  </conditionalFormatting>
  <conditionalFormatting sqref="B26">
    <cfRule type="expression" dxfId="55" priority="175">
      <formula>(AND(ABS(($B$8-$B$4))&gt;=0.05,ABS(($B$8-$B$4))&lt;=0.1))</formula>
    </cfRule>
    <cfRule type="expression" dxfId="54" priority="176">
      <formula>ABS((B8-B4))&gt;0.1</formula>
    </cfRule>
    <cfRule type="expression" dxfId="53" priority="177">
      <formula>ABS((B8-B4))&lt;0.05</formula>
    </cfRule>
  </conditionalFormatting>
  <conditionalFormatting sqref="B28">
    <cfRule type="expression" dxfId="52" priority="172">
      <formula>(AND(ABS(($B$10-$B$6))&gt;=0.05,ABS(($B$10-$B$6))&lt;=0.1))</formula>
    </cfRule>
    <cfRule type="expression" dxfId="51" priority="173">
      <formula>ABS($B$10-$B$6)&gt;0.1</formula>
    </cfRule>
    <cfRule type="expression" dxfId="50" priority="174">
      <formula>ABS($B$10-$B$6)&lt;0.05</formula>
    </cfRule>
  </conditionalFormatting>
  <conditionalFormatting sqref="B29">
    <cfRule type="expression" dxfId="49" priority="169">
      <formula>ABS($B$11-$B$7)&lt;0.05</formula>
    </cfRule>
    <cfRule type="expression" dxfId="48" priority="170">
      <formula>ABS($B$11-$B$7)&gt;0.1</formula>
    </cfRule>
    <cfRule type="expression" dxfId="47" priority="171">
      <formula>(AND(ABS(($B$11-$B$7))&gt;=0.05,ABS(($B$11-$B$7))&lt;=0.1))</formula>
    </cfRule>
  </conditionalFormatting>
  <conditionalFormatting sqref="B27">
    <cfRule type="expression" dxfId="46" priority="163">
      <formula>ABS($B$9-$B$5)&lt;0.05</formula>
    </cfRule>
    <cfRule type="expression" dxfId="45" priority="164">
      <formula>ABS($B$9-$B$5)&gt;0.1</formula>
    </cfRule>
    <cfRule type="expression" dxfId="44" priority="165">
      <formula>(AND(ABS(($B$9-$B$5))&gt;=0.05,ABS(($B$9-$B$5))&lt;=0.1))</formula>
    </cfRule>
  </conditionalFormatting>
  <conditionalFormatting sqref="B104:B108">
    <cfRule type="aboveAverage" dxfId="43" priority="158" equalAverage="1"/>
    <cfRule type="colorScale" priority="159">
      <colorScale>
        <cfvo type="min"/>
        <cfvo type="percentile" val="50"/>
        <cfvo type="max"/>
        <color theme="0"/>
        <color rgb="FFFF8585"/>
        <color theme="5" tint="-0.499984740745262"/>
      </colorScale>
    </cfRule>
  </conditionalFormatting>
  <conditionalFormatting sqref="B44">
    <cfRule type="expression" dxfId="42" priority="143">
      <formula>(AND(ABS((B8/B4))&gt;=0.8,ABS((B8/B4))&lt;=0.875))</formula>
    </cfRule>
    <cfRule type="expression" dxfId="41" priority="144">
      <formula>(B8/B4)&gt;0.875</formula>
    </cfRule>
    <cfRule type="expression" dxfId="40" priority="145">
      <formula>(B8/B4)&lt;0.8</formula>
    </cfRule>
  </conditionalFormatting>
  <conditionalFormatting sqref="B45">
    <cfRule type="expression" dxfId="39" priority="140">
      <formula>(AND(ABS((B9/B5))&gt;=0.8,ABS((B9/B5))&lt;=0.875))</formula>
    </cfRule>
    <cfRule type="expression" dxfId="38" priority="141">
      <formula>(B9/B5)&gt;0.875</formula>
    </cfRule>
    <cfRule type="expression" dxfId="37" priority="142">
      <formula>(B9/B5)&lt;0.8</formula>
    </cfRule>
  </conditionalFormatting>
  <conditionalFormatting sqref="B46">
    <cfRule type="expression" dxfId="36" priority="137">
      <formula>ABS((B10/B6))&lt;0.8</formula>
    </cfRule>
    <cfRule type="expression" dxfId="35" priority="138">
      <formula>ABS((B10/B6))&gt;0.875</formula>
    </cfRule>
    <cfRule type="expression" dxfId="34" priority="139">
      <formula>(AND(ABS((B10/B6))&gt;=0.8,ABS((B10/B6))&lt;=0.875))</formula>
    </cfRule>
  </conditionalFormatting>
  <conditionalFormatting sqref="B47">
    <cfRule type="expression" dxfId="33" priority="134">
      <formula>ABS(B11/B7)&gt;0.875</formula>
    </cfRule>
    <cfRule type="expression" dxfId="32" priority="135">
      <formula>ABS((B11/B7))&lt;0.8</formula>
    </cfRule>
    <cfRule type="expression" dxfId="31" priority="136">
      <formula>(AND(ABS((B11/B7))&gt;=0.8,ABS((B11/B7))&lt;=0.875))</formula>
    </cfRule>
  </conditionalFormatting>
  <conditionalFormatting sqref="C44">
    <cfRule type="expression" dxfId="30" priority="129">
      <formula>OR((B8/B4)&gt;=0.875,OR(G44&gt;=1,H44&gt;=1))</formula>
    </cfRule>
    <cfRule type="expression" dxfId="29" priority="130">
      <formula>NOT(OR((B8/B4)&gt;=0.875,OR(G44&gt;=1,H44&gt;=1)))</formula>
    </cfRule>
  </conditionalFormatting>
  <conditionalFormatting sqref="C45">
    <cfRule type="expression" dxfId="28" priority="127">
      <formula>NOT(OR((B9/B5)&gt;=0.875,OR(G45&gt;=1,H45&gt;=1)))</formula>
    </cfRule>
    <cfRule type="expression" dxfId="27" priority="128">
      <formula>OR((B9/B5)&gt;=0.875,OR(G45&gt;=1,H45&gt;=1))</formula>
    </cfRule>
  </conditionalFormatting>
  <conditionalFormatting sqref="C46">
    <cfRule type="expression" dxfId="26" priority="125">
      <formula>OR((B10/B6)&gt;=0.875,OR(G46&gt;=1,H46&gt;=1))</formula>
    </cfRule>
    <cfRule type="expression" dxfId="25" priority="126">
      <formula>NOT(OR((B10/B6)&gt;=0.875,OR(G46&gt;=1,H46&gt;=1)))</formula>
    </cfRule>
  </conditionalFormatting>
  <conditionalFormatting sqref="C47">
    <cfRule type="expression" dxfId="24" priority="123">
      <formula>OR((B11/B7)&gt;=0.875,OR(G47&gt;=1,H47&gt;=1))</formula>
    </cfRule>
    <cfRule type="expression" dxfId="23" priority="124">
      <formula>NOT(OR((B11/B7)&gt;=0.875,OR(G47&gt;=1,H47&gt;=1)))</formula>
    </cfRule>
  </conditionalFormatting>
  <conditionalFormatting sqref="C94">
    <cfRule type="expression" dxfId="22" priority="85">
      <formula>NOT(OR((C92*D93)/(D92*C93)&gt;=0.67,OR(G94&gt;=1,H94&gt;=1)))</formula>
    </cfRule>
    <cfRule type="expression" dxfId="21" priority="86">
      <formula>OR((C92*D93)/(D92*C93)&gt;=0.67,OR(G94&gt;=1,H94&gt;=1))</formula>
    </cfRule>
  </conditionalFormatting>
  <conditionalFormatting sqref="C89">
    <cfRule type="expression" dxfId="20" priority="80">
      <formula>NOT(OR((C87*D88)/(D87*C88)&gt;=0.67,OR(G89&gt;=1,H89&gt;=1)))</formula>
    </cfRule>
    <cfRule type="expression" dxfId="19" priority="81">
      <formula>OR((C87*D88)/(D87*C88)&gt;=0.67,OR(G89&gt;=1,H89&gt;=1))</formula>
    </cfRule>
  </conditionalFormatting>
  <conditionalFormatting sqref="C84">
    <cfRule type="expression" dxfId="18" priority="75">
      <formula>NOT(OR((C82*D83)/(D82*C83)&gt;=0.67,OR(G84&gt;=1,H84&gt;=1)))</formula>
    </cfRule>
    <cfRule type="expression" dxfId="17" priority="76">
      <formula>OR((C82*D83)/(D82*C83)&gt;=0.67,OR(G84&gt;=1,H84&gt;=1))</formula>
    </cfRule>
  </conditionalFormatting>
  <conditionalFormatting sqref="C79">
    <cfRule type="expression" dxfId="16" priority="70">
      <formula>NOT(OR((C77*D78)/(D77*C78)&gt;=0.67,OR(G79&gt;=1,H79&gt;=1)))</formula>
    </cfRule>
    <cfRule type="expression" dxfId="15" priority="71">
      <formula>OR((C77*D78)/(D77*C78)&gt;=0.67,OR(G79&gt;=1,H79&gt;=1))</formula>
    </cfRule>
  </conditionalFormatting>
  <conditionalFormatting sqref="B62">
    <cfRule type="expression" dxfId="14" priority="16">
      <formula>(B8/B4)-1&gt;-0.125</formula>
    </cfRule>
    <cfRule type="expression" dxfId="13" priority="17">
      <formula>(B8/B4)-1&lt;-0.2</formula>
    </cfRule>
    <cfRule type="expression" dxfId="12" priority="18">
      <formula>AND((B8/B4)-1&lt;=-0.125,((B8/B4)-1)&gt;=-0.2)</formula>
    </cfRule>
  </conditionalFormatting>
  <conditionalFormatting sqref="B63">
    <cfRule type="expression" dxfId="11" priority="13">
      <formula>AND((B9/B5)-1&lt;=-0.125,((B9/B5)-1)&gt;=-0.2)</formula>
    </cfRule>
    <cfRule type="expression" dxfId="10" priority="14">
      <formula>((B9/B5)-1)&gt;-0.125</formula>
    </cfRule>
    <cfRule type="expression" dxfId="9" priority="15">
      <formula>((B9/B5)-1)&lt;-0.2</formula>
    </cfRule>
  </conditionalFormatting>
  <conditionalFormatting sqref="B65">
    <cfRule type="expression" dxfId="8" priority="10">
      <formula>(B11/B7)-1&lt;-0.2</formula>
    </cfRule>
    <cfRule type="expression" dxfId="7" priority="11">
      <formula>(B11/B7)-1&gt;-0.125</formula>
    </cfRule>
    <cfRule type="expression" dxfId="6" priority="12">
      <formula>AND((B11/B7)-1&lt;=-0.125,((B11/B7)-1)&gt;=-0.2)</formula>
    </cfRule>
  </conditionalFormatting>
  <conditionalFormatting sqref="B64">
    <cfRule type="expression" dxfId="5" priority="7">
      <formula>(B10/B6)-1&gt;-0.125</formula>
    </cfRule>
    <cfRule type="expression" dxfId="4" priority="8">
      <formula>AND((B10/B6)-1&lt;=-0.125,((B10/B6)-1)&gt;=-0.2)</formula>
    </cfRule>
    <cfRule type="expression" dxfId="3" priority="9">
      <formula>(B10/B6)-1&lt;-0.2</formula>
    </cfRule>
  </conditionalFormatting>
  <conditionalFormatting sqref="A1:D109">
    <cfRule type="containsText" dxfId="2" priority="1" operator="containsText" text="MAYBE D">
      <formula>NOT(ISERROR(SEARCH("MAYBE D",A1)))</formula>
    </cfRule>
    <cfRule type="containsText" dxfId="1" priority="2" operator="containsText" text="NO D">
      <formula>NOT(ISERROR(SEARCH("NO D",A1)))</formula>
    </cfRule>
    <cfRule type="containsText" dxfId="0" priority="3" operator="containsText" text="YES D">
      <formula>NOT(ISERROR(SEARCH("YES D",A1)))</formula>
    </cfRule>
  </conditionalFormatting>
  <pageMargins left="0.7" right="0.7" top="0.75" bottom="0.75" header="0.3" footer="0.3"/>
  <pageSetup scale="73" fitToHeight="0" orientation="portrait" r:id="rId1"/>
  <headerFooter>
    <oddHeader>&amp;L&amp;"-,Bold"&amp;12NQC Qualifying Disparities in HIV Care
&amp;"-,Italic"Viral Suppression Analysis&amp;C&amp;G&amp;R&amp;12&amp;G</oddHeader>
    <oddFooter>&amp;L&amp;"-,Bold"&amp;E&amp;KFF0000http://enddisparitiesexchange.org/portfolio_item/resource-one/&amp;RCalculator Developed by Naomi Savitz, MPH New Solutions Inc. 
and Adapted by Michael Hager, MPH, MA NQC</oddFooter>
  </headerFooter>
  <rowBreaks count="2" manualBreakCount="2">
    <brk id="49" max="3" man="1"/>
    <brk id="96" max="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Stats Basics</vt:lpstr>
      <vt:lpstr>Data ENTRY</vt:lpstr>
      <vt:lpstr>Viral Suppression Summary</vt:lpstr>
      <vt:lpstr>Viral Suppression Analysis</vt:lpstr>
      <vt:lpstr>'Data ENTRY'!Print_Area</vt:lpstr>
      <vt:lpstr>Instructions!Print_Area</vt:lpstr>
      <vt:lpstr>'Stats Basics'!Print_Area</vt:lpstr>
      <vt:lpstr>'Viral Suppression Analysis'!Print_Area</vt:lpstr>
      <vt:lpstr>'Viral Suppression Summary'!Print_Area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M Steinbock</dc:creator>
  <cp:lastModifiedBy>Kolesar, Charles (DOH)</cp:lastModifiedBy>
  <cp:revision/>
  <cp:lastPrinted>2018-05-15T13:29:05Z</cp:lastPrinted>
  <dcterms:created xsi:type="dcterms:W3CDTF">2015-12-14T15:53:37Z</dcterms:created>
  <dcterms:modified xsi:type="dcterms:W3CDTF">2020-12-16T19:47:37Z</dcterms:modified>
</cp:coreProperties>
</file>